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нструкция" sheetId="1" state="visible" r:id="rId3"/>
    <sheet name="Настройки" sheetId="2" state="visible" r:id="rId4"/>
    <sheet name="Сотрудники" sheetId="3" state="visible" r:id="rId5"/>
    <sheet name="Коды" sheetId="4" state="visible" r:id="rId6"/>
    <sheet name="Табель" sheetId="5" state="visible" r:id="rId7"/>
    <sheet name="Сводка" sheetId="6" state="visible" r:id="rId8"/>
  </sheets>
  <definedNames>
    <definedName function="false" hidden="false" name="Праздники" vbProcedure="false">Настройки!$B$14:$B$27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<sst xmlns="http://schemas.openxmlformats.org/spreadsheetml/2006/main" count="931" uniqueCount="236">
  <si>
    <t xml:space="preserve">ТАБЕЛЬ УЧЁТА РАБОЧЕГО ВРЕМЕНИ</t>
  </si>
  <si>
    <t xml:space="preserve">Готовый шаблон для бизнеса в Казахстане · 2026</t>
  </si>
  <si>
    <t xml:space="preserve">Шаблон от Chekalka — система контроля посещаемости по QR-коду · chekalka.kz</t>
  </si>
  <si>
    <t xml:space="preserve">О ШАБЛОНЕ</t>
  </si>
  <si>
    <t xml:space="preserve">Этот файл — полностью рабочий табель на 20 сотрудников. Внутри уже настроены формулы, выпадающие списки кодов, подсветка выходных и праздничных дней, автоматический расчёт часов и зарплаты. Достаточно заменить тестовые данные на свои — и можно работать.</t>
  </si>
  <si>
    <t xml:space="preserve">С ЧЕГО НАЧАТЬ — 5 ШАГОВ</t>
  </si>
  <si>
    <t xml:space="preserve">Шаг 1.  Откройте лист «Настройки». Укажите название вашей компании, расчётный месяц и год. При необходимости отредактируйте список праздничных дней.</t>
  </si>
  <si>
    <t xml:space="preserve">Шаг 2.  Откройте лист «Сотрудники». Замените 20 тестовых ФИО, должностей и окладов на данные ваших сотрудников. Часовая ставка рассчитается автоматически (оклад / 168).</t>
  </si>
  <si>
    <t xml:space="preserve">Шаг 3.  Откройте лист «Табель». В шапке появятся название компании, период и календарь дней. ФИО и должности подтянутся из листа «Сотрудники» по табельному номеру.</t>
  </si>
  <si>
    <t xml:space="preserve">Шаг 4.  Каждый день проставляйте код посещаемости в нужной ячейке. Выпадающий список откроется при выборе ячейки. Расшифровка кодов — на листе «Коды».</t>
  </si>
  <si>
    <t xml:space="preserve">Шаг 5.  В конце месяца откройте лист «Сводка» — увидите готовый отчёт по часам, явкам, отсутствиям и сумме к начислению. Бонусы и штрафы можно внести вручную.</t>
  </si>
  <si>
    <t xml:space="preserve">КАК ЧИТАТЬ ЯЧЕЙКИ В ТАБЕЛЕ</t>
  </si>
  <si>
    <t xml:space="preserve">•  Я — рабочий день (по умолчанию 8 ч)</t>
  </si>
  <si>
    <t xml:space="preserve">•  В — выходной (серый фон)</t>
  </si>
  <si>
    <t xml:space="preserve">•  ОТ — отпуск (голубой фон)</t>
  </si>
  <si>
    <t xml:space="preserve">•  Б — больничный (бежевый фон)</t>
  </si>
  <si>
    <t xml:space="preserve">•  ПР — прогул (красный фон)</t>
  </si>
  <si>
    <t xml:space="preserve">•  С — день со сверхурочными +2 ч (оранжевый фон)</t>
  </si>
  <si>
    <t xml:space="preserve">•  РВ — работа в выходной/праздник, оплата 2x (оранжевый фон)</t>
  </si>
  <si>
    <t xml:space="preserve">Полный список из 16 кодов — на листе «Коды».</t>
  </si>
  <si>
    <t xml:space="preserve">ВАЖНО</t>
  </si>
  <si>
    <t xml:space="preserve">•  Ячейки с формулами защищены (без пароля). Чтобы снять защиту: вкладка «Рецензирование» → «Снять защиту листа».</t>
  </si>
  <si>
    <t xml:space="preserve">•  Файл работает в Excel 2016+, Excel Online, Excel для Mac и LibreOffice Calc. Макросов нет.</t>
  </si>
  <si>
    <t xml:space="preserve">•  Часовая ставка считается как Оклад / 168 (норма для Казахстана). Изменить можно на листе «Настройки».</t>
  </si>
  <si>
    <t xml:space="preserve">•  Оплата: Я / Н / К = 1x ставки · С = базовая ставка + 2 ч × 1.5 · РВ = 8 ч × 2x.</t>
  </si>
  <si>
    <t xml:space="preserve">Хотите автоматизировать учёт без бумажного табеля? Chekalka — отметка по QR-коду за пару секунд, GPS-верификация, отчёты в реальном времени. chekalka.kz</t>
  </si>
  <si>
    <t xml:space="preserve">НАСТРОЙКИ ШАБЛОНА</t>
  </si>
  <si>
    <t xml:space="preserve">Название компании</t>
  </si>
  <si>
    <t xml:space="preserve">ООО «Пример»</t>
  </si>
  <si>
    <t xml:space="preserve">Тянется в шапку Табеля и Сводки</t>
  </si>
  <si>
    <t xml:space="preserve">Расчётный месяц (1–12)</t>
  </si>
  <si>
    <t xml:space="preserve">Введите число 1–12 (1 = Январь)</t>
  </si>
  <si>
    <t xml:space="preserve">Расчётный год</t>
  </si>
  <si>
    <t xml:space="preserve">Год в формате ГГГГ</t>
  </si>
  <si>
    <t xml:space="preserve">Норма часов в месяц</t>
  </si>
  <si>
    <t xml:space="preserve">По умолчанию 168 для Казахстана</t>
  </si>
  <si>
    <t xml:space="preserve">Стандартный рабочий день, ч</t>
  </si>
  <si>
    <t xml:space="preserve">Длительность смены, часов</t>
  </si>
  <si>
    <t xml:space="preserve">Время начала рабочего дня</t>
  </si>
  <si>
    <t xml:space="preserve">09:00</t>
  </si>
  <si>
    <t xml:space="preserve">Информационно, для опозданий</t>
  </si>
  <si>
    <t xml:space="preserve">Сверхурочные в день (код С), ч</t>
  </si>
  <si>
    <t xml:space="preserve">Доплачиваются по 1.5x ставки</t>
  </si>
  <si>
    <t xml:space="preserve">ПРАЗДНИЧНЫЕ ДНИ 2026</t>
  </si>
  <si>
    <t xml:space="preserve">№</t>
  </si>
  <si>
    <t xml:space="preserve">Дата</t>
  </si>
  <si>
    <t xml:space="preserve">Название</t>
  </si>
  <si>
    <t xml:space="preserve">Новый год</t>
  </si>
  <si>
    <t xml:space="preserve">Православное Рождество</t>
  </si>
  <si>
    <t xml:space="preserve">Международный женский день</t>
  </si>
  <si>
    <t xml:space="preserve">Наурыз</t>
  </si>
  <si>
    <t xml:space="preserve">Праздник единства народа Казахстана</t>
  </si>
  <si>
    <t xml:space="preserve">День защитника Отечества</t>
  </si>
  <si>
    <t xml:space="preserve">День Победы</t>
  </si>
  <si>
    <t xml:space="preserve">День Столицы</t>
  </si>
  <si>
    <t xml:space="preserve">День Конституции</t>
  </si>
  <si>
    <t xml:space="preserve">День Республики</t>
  </si>
  <si>
    <t xml:space="preserve">День Независимости</t>
  </si>
  <si>
    <t xml:space="preserve">СПИСОК СОТРУДНИКОВ</t>
  </si>
  <si>
    <t xml:space="preserve">Замените тестовые данные на ваших сотрудников. Часовая ставка считается автоматически.</t>
  </si>
  <si>
    <t xml:space="preserve">Табельный №</t>
  </si>
  <si>
    <t xml:space="preserve">ФИО</t>
  </si>
  <si>
    <t xml:space="preserve">Должность</t>
  </si>
  <si>
    <t xml:space="preserve">Отдел</t>
  </si>
  <si>
    <t xml:space="preserve">Оклад (тенге)</t>
  </si>
  <si>
    <t xml:space="preserve">Часовая ставка</t>
  </si>
  <si>
    <t xml:space="preserve">Дата приёма</t>
  </si>
  <si>
    <t xml:space="preserve">Статус</t>
  </si>
  <si>
    <t xml:space="preserve">001</t>
  </si>
  <si>
    <t xml:space="preserve">Иванов И.И.</t>
  </si>
  <si>
    <t xml:space="preserve">Менеджер по продажам</t>
  </si>
  <si>
    <t xml:space="preserve">Продажи</t>
  </si>
  <si>
    <t xml:space="preserve">01.02.2024</t>
  </si>
  <si>
    <t xml:space="preserve">Работает</t>
  </si>
  <si>
    <t xml:space="preserve">002</t>
  </si>
  <si>
    <t xml:space="preserve">Петров П.П.</t>
  </si>
  <si>
    <t xml:space="preserve">Старший менеджер</t>
  </si>
  <si>
    <t xml:space="preserve">15.05.2023</t>
  </si>
  <si>
    <t xml:space="preserve">003</t>
  </si>
  <si>
    <t xml:space="preserve">Сидоров С.С.</t>
  </si>
  <si>
    <t xml:space="preserve">Бухгалтер</t>
  </si>
  <si>
    <t xml:space="preserve">Финансы</t>
  </si>
  <si>
    <t xml:space="preserve">10.09.2022</t>
  </si>
  <si>
    <t xml:space="preserve">004</t>
  </si>
  <si>
    <t xml:space="preserve">Ахметова А.К.</t>
  </si>
  <si>
    <t xml:space="preserve">Главный бухгалтер</t>
  </si>
  <si>
    <t xml:space="preserve">01.03.2021</t>
  </si>
  <si>
    <t xml:space="preserve">005</t>
  </si>
  <si>
    <t xml:space="preserve">Нурланов Б.Т.</t>
  </si>
  <si>
    <t xml:space="preserve">Маркетолог</t>
  </si>
  <si>
    <t xml:space="preserve">Маркетинг</t>
  </si>
  <si>
    <t xml:space="preserve">20.06.2023</t>
  </si>
  <si>
    <t xml:space="preserve">006</t>
  </si>
  <si>
    <t xml:space="preserve">Жумабекова Г.М.</t>
  </si>
  <si>
    <t xml:space="preserve">Дизайнер</t>
  </si>
  <si>
    <t xml:space="preserve">12.01.2024</t>
  </si>
  <si>
    <t xml:space="preserve">007</t>
  </si>
  <si>
    <t xml:space="preserve">Серикбаев Е.А.</t>
  </si>
  <si>
    <t xml:space="preserve">Программист</t>
  </si>
  <si>
    <t xml:space="preserve">IT</t>
  </si>
  <si>
    <t xml:space="preserve">05.04.2022</t>
  </si>
  <si>
    <t xml:space="preserve">008</t>
  </si>
  <si>
    <t xml:space="preserve">Касымов Д.Н.</t>
  </si>
  <si>
    <t xml:space="preserve">Системный администратор</t>
  </si>
  <si>
    <t xml:space="preserve">18.08.2023</t>
  </si>
  <si>
    <t xml:space="preserve">009</t>
  </si>
  <si>
    <t xml:space="preserve">Алиева Ж.С.</t>
  </si>
  <si>
    <t xml:space="preserve">HR-менеджер</t>
  </si>
  <si>
    <t xml:space="preserve">HR</t>
  </si>
  <si>
    <t xml:space="preserve">01.11.2022</t>
  </si>
  <si>
    <t xml:space="preserve">010</t>
  </si>
  <si>
    <t xml:space="preserve">Бекжанов М.К.</t>
  </si>
  <si>
    <t xml:space="preserve">Руководитель отдела</t>
  </si>
  <si>
    <t xml:space="preserve">10.07.2020</t>
  </si>
  <si>
    <t xml:space="preserve">011</t>
  </si>
  <si>
    <t xml:space="preserve">Турсынова А.Б.</t>
  </si>
  <si>
    <t xml:space="preserve">Офис-менеджер</t>
  </si>
  <si>
    <t xml:space="preserve">Администрация</t>
  </si>
  <si>
    <t xml:space="preserve">03.02.2024</t>
  </si>
  <si>
    <t xml:space="preserve">012</t>
  </si>
  <si>
    <t xml:space="preserve">Оспанов Т.Е.</t>
  </si>
  <si>
    <t xml:space="preserve">Кладовщик</t>
  </si>
  <si>
    <t xml:space="preserve">Склад</t>
  </si>
  <si>
    <t xml:space="preserve">25.09.2023</t>
  </si>
  <si>
    <t xml:space="preserve">013</t>
  </si>
  <si>
    <t xml:space="preserve">Мухамедова Н.Р.</t>
  </si>
  <si>
    <t xml:space="preserve">Аналитик</t>
  </si>
  <si>
    <t xml:space="preserve">14.06.2022</t>
  </si>
  <si>
    <t xml:space="preserve">014</t>
  </si>
  <si>
    <t xml:space="preserve">Шарипов К.А.</t>
  </si>
  <si>
    <t xml:space="preserve">Юрист</t>
  </si>
  <si>
    <t xml:space="preserve">Юр. отдел</t>
  </si>
  <si>
    <t xml:space="preserve">08.10.2021</t>
  </si>
  <si>
    <t xml:space="preserve">015</t>
  </si>
  <si>
    <t xml:space="preserve">Досанова А.Ж.</t>
  </si>
  <si>
    <t xml:space="preserve">Ассистент</t>
  </si>
  <si>
    <t xml:space="preserve">20.03.2024</t>
  </si>
  <si>
    <t xml:space="preserve">016</t>
  </si>
  <si>
    <t xml:space="preserve">Кенжебаев Р.С.</t>
  </si>
  <si>
    <t xml:space="preserve">Водитель</t>
  </si>
  <si>
    <t xml:space="preserve">Логистика</t>
  </si>
  <si>
    <t xml:space="preserve">01.12.2023</t>
  </si>
  <si>
    <t xml:space="preserve">017</t>
  </si>
  <si>
    <t xml:space="preserve">Иманбаева С.Д.</t>
  </si>
  <si>
    <t xml:space="preserve">Секретарь</t>
  </si>
  <si>
    <t xml:space="preserve">15.07.2023</t>
  </si>
  <si>
    <t xml:space="preserve">018</t>
  </si>
  <si>
    <t xml:space="preserve">Сапаров А.М.</t>
  </si>
  <si>
    <t xml:space="preserve">22.04.2024</t>
  </si>
  <si>
    <t xml:space="preserve">019</t>
  </si>
  <si>
    <t xml:space="preserve">Байжанова Л.К.</t>
  </si>
  <si>
    <t xml:space="preserve">Контент-менеджер</t>
  </si>
  <si>
    <t xml:space="preserve">10.05.2023</t>
  </si>
  <si>
    <t xml:space="preserve">020</t>
  </si>
  <si>
    <t xml:space="preserve">Ермеков Б.Н.</t>
  </si>
  <si>
    <t xml:space="preserve">Технический специалист</t>
  </si>
  <si>
    <t xml:space="preserve">07.08.2022</t>
  </si>
  <si>
    <t xml:space="preserve">СПРАВОЧНИК КОДОВ УЧЁТА</t>
  </si>
  <si>
    <t xml:space="preserve">16 кодов посещаемости — проставляются в листе «Табель»</t>
  </si>
  <si>
    <t xml:space="preserve">Код</t>
  </si>
  <si>
    <t xml:space="preserve">Полное название</t>
  </si>
  <si>
    <t xml:space="preserve">Когда ставится</t>
  </si>
  <si>
    <t xml:space="preserve">Учитывается как рабочий</t>
  </si>
  <si>
    <t xml:space="preserve">Я</t>
  </si>
  <si>
    <t xml:space="preserve">Явка</t>
  </si>
  <si>
    <t xml:space="preserve">Сотрудник вышел на работу</t>
  </si>
  <si>
    <t xml:space="preserve">Да</t>
  </si>
  <si>
    <t xml:space="preserve">Н</t>
  </si>
  <si>
    <t xml:space="preserve">Ночные часы</t>
  </si>
  <si>
    <t xml:space="preserve">Работа в ночную смену (22:00–06:00)</t>
  </si>
  <si>
    <t xml:space="preserve">В</t>
  </si>
  <si>
    <t xml:space="preserve">Выходной</t>
  </si>
  <si>
    <t xml:space="preserve">Плановый выходной по графику</t>
  </si>
  <si>
    <t xml:space="preserve">Нет</t>
  </si>
  <si>
    <t xml:space="preserve">ОТ</t>
  </si>
  <si>
    <t xml:space="preserve">Основной отпуск</t>
  </si>
  <si>
    <t xml:space="preserve">Ежегодный оплачиваемый отпуск</t>
  </si>
  <si>
    <t xml:space="preserve">ОД</t>
  </si>
  <si>
    <t xml:space="preserve">Отпуск без сохранения зарплаты</t>
  </si>
  <si>
    <t xml:space="preserve">Отпуск за свой счёт</t>
  </si>
  <si>
    <t xml:space="preserve">ОЗ</t>
  </si>
  <si>
    <t xml:space="preserve">Учебный отпуск</t>
  </si>
  <si>
    <t xml:space="preserve">Отпуск на сессию / обучение с сохранением</t>
  </si>
  <si>
    <t xml:space="preserve">У</t>
  </si>
  <si>
    <t xml:space="preserve">Учёба / повышение квалификации</t>
  </si>
  <si>
    <t xml:space="preserve">Обучение, курсы, тренинги</t>
  </si>
  <si>
    <t xml:space="preserve">Частично</t>
  </si>
  <si>
    <t xml:space="preserve">Р</t>
  </si>
  <si>
    <t xml:space="preserve">Отпуск по родам</t>
  </si>
  <si>
    <t xml:space="preserve">Декретный отпуск (БиР)</t>
  </si>
  <si>
    <t xml:space="preserve">Б</t>
  </si>
  <si>
    <t xml:space="preserve">Больничный</t>
  </si>
  <si>
    <t xml:space="preserve">Временная нетрудоспособность с листком</t>
  </si>
  <si>
    <t xml:space="preserve">Т</t>
  </si>
  <si>
    <t xml:space="preserve">Болезнь без больничного</t>
  </si>
  <si>
    <t xml:space="preserve">Нетрудоспособность без оформления листка</t>
  </si>
  <si>
    <t xml:space="preserve">ПР</t>
  </si>
  <si>
    <t xml:space="preserve">Прогул</t>
  </si>
  <si>
    <t xml:space="preserve">Неявка без уважительной причины</t>
  </si>
  <si>
    <t xml:space="preserve">НН</t>
  </si>
  <si>
    <t xml:space="preserve">Неявка по невыясненным причинам</t>
  </si>
  <si>
    <t xml:space="preserve">Причина отсутствия не установлена</t>
  </si>
  <si>
    <t xml:space="preserve">РВ</t>
  </si>
  <si>
    <t xml:space="preserve">Работа в выходной/праздник</t>
  </si>
  <si>
    <t xml:space="preserve">Привлечение к работе в нерабочий день</t>
  </si>
  <si>
    <t xml:space="preserve">Да (2x)</t>
  </si>
  <si>
    <t xml:space="preserve">С</t>
  </si>
  <si>
    <t xml:space="preserve">Сверхурочные</t>
  </si>
  <si>
    <t xml:space="preserve">Работа сверх нормы (по умолчанию +2 ч)</t>
  </si>
  <si>
    <t xml:space="preserve">Да (1.5x)</t>
  </si>
  <si>
    <t xml:space="preserve">К</t>
  </si>
  <si>
    <t xml:space="preserve">Командировка</t>
  </si>
  <si>
    <t xml:space="preserve">Служебная поездка</t>
  </si>
  <si>
    <t xml:space="preserve">ОВ</t>
  </si>
  <si>
    <t xml:space="preserve">Отгул</t>
  </si>
  <si>
    <t xml:space="preserve">Дополнительный выходной за переработку</t>
  </si>
  <si>
    <t xml:space="preserve">Табель учёта рабочего времени · проставляйте коды в ячейках дней (выпадающий список)</t>
  </si>
  <si>
    <t xml:space="preserve">Всего часов</t>
  </si>
  <si>
    <t xml:space="preserve">Дней явки</t>
  </si>
  <si>
    <t xml:space="preserve">Дней отсутствия</t>
  </si>
  <si>
    <t xml:space="preserve">Сверхурочные, ч</t>
  </si>
  <si>
    <t xml:space="preserve">К начислению, ₸</t>
  </si>
  <si>
    <t xml:space="preserve">ИТОГО</t>
  </si>
  <si>
    <t xml:space="preserve">Автоматический расчёт по данным листа «Табель». Бонусы/штрафы вводятся вручную.</t>
  </si>
  <si>
    <t xml:space="preserve">Отработано, ч</t>
  </si>
  <si>
    <t xml:space="preserve">Сверхурочн., ч</t>
  </si>
  <si>
    <t xml:space="preserve">По тарифу, ₸</t>
  </si>
  <si>
    <t xml:space="preserve">Бонус/штраф, ₸</t>
  </si>
  <si>
    <t xml:space="preserve">Итого к выплате, ₸</t>
  </si>
  <si>
    <t xml:space="preserve">БЫСТРЫЕ ПОКАЗАТЕЛИ</t>
  </si>
  <si>
    <t xml:space="preserve">Сотрудников в табеле:</t>
  </si>
  <si>
    <t xml:space="preserve">Средняя явка (дней на человека):</t>
  </si>
  <si>
    <t xml:space="preserve">Всего часов сверхурочно:</t>
  </si>
  <si>
    <t xml:space="preserve">Средний оклад по компании, ₸:</t>
  </si>
  <si>
    <t xml:space="preserve">Фонд оплаты к выплате, ₸:</t>
  </si>
  <si>
    <t xml:space="preserve">Бесплатный шаблон от Chekalka · chekalka.kz · Контроль посещаемости по QR-коду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</si>
</sst>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dd\.mm\.yyyy"/>
    <numFmt numFmtId="167" formatCode="#,##0&quot; ₸&quot;"/>
    <numFmt numFmtId="168" formatCode="#,##0&quot; ₸&quot;;\-#,##0&quot; ₸&quot;;\-"/>
    <numFmt numFmtId="169" formatCode="0.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0"/>
      <charset val="1"/>
    </font>
    <font>
      <b val="true"/>
      <sz val="20"/>
      <color rgb="FFC00000"/>
      <name val="Arial"/>
      <family val="0"/>
      <charset val="1"/>
    </font>
    <font>
      <i val="true"/>
      <sz val="12"/>
      <color rgb="FF595959"/>
      <name val="Arial"/>
      <family val="0"/>
      <charset val="1"/>
    </font>
    <font>
      <sz val="10"/>
      <color rgb="FF595959"/>
      <name val="Arial"/>
      <family val="0"/>
      <charset val="1"/>
    </font>
    <font>
      <b val="true"/>
      <sz val="14"/>
      <color rgb="FF1F4E78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i val="true"/>
      <sz val="11"/>
      <color rgb="FFC00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40404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C00000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BDD7EE"/>
        <bgColor rgb="FFD9D9D9"/>
      </patternFill>
    </fill>
    <fill>
      <patternFill patternType="solid">
        <fgColor rgb="FFFFFFFF"/>
        <bgColor rgb="FFFAFAFA"/>
      </patternFill>
    </fill>
    <fill>
      <patternFill patternType="solid">
        <fgColor rgb="FFF2F2F2"/>
        <bgColor rgb="FFFAFAFA"/>
      </patternFill>
    </fill>
    <fill>
      <patternFill patternType="solid">
        <fgColor rgb="FFFAFAFA"/>
        <bgColor rgb="FFFFFFFF"/>
      </patternFill>
    </fill>
    <fill>
      <patternFill patternType="solid">
        <fgColor rgb="FFE2EFDA"/>
        <bgColor rgb="FFF2F2F2"/>
      </patternFill>
    </fill>
    <fill>
      <patternFill patternType="solid">
        <fgColor rgb="FFD9D9D9"/>
        <bgColor rgb="FFBDD7EE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FFE699"/>
        <bgColor rgb="FFFFF2CC"/>
      </patternFill>
    </fill>
    <fill>
      <patternFill patternType="solid">
        <fgColor rgb="FFF4B084"/>
        <bgColor rgb="FFF8CBAD"/>
      </patternFill>
    </fill>
    <fill>
      <patternFill patternType="solid">
        <fgColor rgb="FFFFC000"/>
        <bgColor rgb="FFFF99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medium">
        <color rgb="FF404040"/>
      </bottom>
      <diagonal/>
    </border>
    <border diagonalUp="false" diagonalDown="false">
      <left style="thin">
        <color rgb="FF808080"/>
      </left>
      <right style="thin">
        <color rgb="FF808080"/>
      </right>
      <top style="medium">
        <color rgb="FF404040"/>
      </top>
      <bottom style="thin">
        <color rgb="FF808080"/>
      </bottom>
      <diagonal/>
    </border>
    <border diagonalUp="false" diagonalDown="false">
      <left style="thin">
        <color rgb="FF808080"/>
      </left>
      <right/>
      <top style="medium">
        <color rgb="FF404040"/>
      </top>
      <bottom style="medium">
        <color rgb="FF404040"/>
      </bottom>
      <diagonal/>
    </border>
    <border diagonalUp="false" diagonalDown="false">
      <left style="thin">
        <color rgb="FF808080"/>
      </left>
      <right style="thin">
        <color rgb="FF808080"/>
      </right>
      <top style="medium">
        <color rgb="FF404040"/>
      </top>
      <bottom style="medium">
        <color rgb="FF40404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6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6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1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8" fontId="21" fillId="4" borderId="1" xfId="0" applyFont="true" applyBorder="true" applyAlignment="true" applyProtection="true">
      <alignment horizontal="right" vertical="bottom" textRotation="0" wrapText="false" indent="1" shrinkToFit="false"/>
      <protection locked="false" hidden="false"/>
    </xf>
    <xf numFmtId="168" fontId="12" fillId="11" borderId="1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2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6" borderId="1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7" fontId="15" fillId="2" borderId="5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5" fillId="2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2" fillId="3" borderId="6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26" fillId="11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26" fillId="11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26" fillId="11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>
          <bgColor rgb="FFD9D9D9"/>
        </patternFill>
      </fill>
    </dxf>
    <dxf>
      <fill>
        <patternFill>
          <bgColor rgb="FFF8CBAD"/>
        </patternFill>
      </fill>
    </dxf>
    <dxf>
      <fill>
        <patternFill>
          <bgColor rgb="FF404040"/>
        </patternFill>
      </fill>
    </dxf>
    <dxf>
      <fill>
        <patternFill>
          <bgColor rgb="FFFFE699"/>
        </patternFill>
      </fill>
    </dxf>
    <dxf>
      <fill>
        <patternFill>
          <bgColor rgb="FFBDD7EE"/>
        </patternFill>
      </fill>
    </dxf>
    <dxf>
      <fill>
        <patternFill>
          <bgColor rgb="FFF4B084"/>
        </patternFill>
      </fill>
    </dxf>
    <dxf>
      <fill>
        <patternFill>
          <bgColor rgb="FFFFC000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AFA"/>
      <rgbColor rgb="FFE2EFDA"/>
      <rgbColor rgb="FFFFE699"/>
      <rgbColor rgb="FFFCE4D6"/>
      <rgbColor rgb="FFF4B084"/>
      <rgbColor rgb="FFCC99FF"/>
      <rgbColor rgb="FFF8CBAD"/>
      <rgbColor rgb="FF3366FF"/>
      <rgbColor rgb="FF33CCCC"/>
      <rgbColor rgb="FF99CC00"/>
      <rgbColor rgb="FFFFC0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10"/>
  </cols>
  <sheetData>
    <row r="1" customFormat="false" ht="15" hidden="false" customHeight="false" outlineLevel="0" collapsed="false">
      <c r="B1" s="1"/>
    </row>
    <row r="2" customFormat="false" ht="24.45" hidden="false" customHeight="false" outlineLevel="0" collapsed="false">
      <c r="B2" s="2" t="s">
        <v>0</v>
      </c>
    </row>
    <row r="3" customFormat="false" ht="15" hidden="false" customHeight="false" outlineLevel="0" collapsed="false">
      <c r="B3" s="3" t="s">
        <v>1</v>
      </c>
    </row>
    <row r="4" customFormat="false" ht="15" hidden="false" customHeight="false" outlineLevel="0" collapsed="false">
      <c r="B4" s="1"/>
    </row>
    <row r="5" customFormat="false" ht="15" hidden="false" customHeight="false" outlineLevel="0" collapsed="false">
      <c r="B5" s="4" t="s">
        <v>2</v>
      </c>
    </row>
    <row r="6" customFormat="false" ht="15" hidden="false" customHeight="false" outlineLevel="0" collapsed="false">
      <c r="B6" s="1"/>
    </row>
    <row r="7" customFormat="false" ht="17.35" hidden="false" customHeight="false" outlineLevel="0" collapsed="false">
      <c r="B7" s="5" t="s">
        <v>3</v>
      </c>
    </row>
    <row r="8" customFormat="false" ht="49.5" hidden="false" customHeight="true" outlineLevel="0" collapsed="false">
      <c r="B8" s="6" t="s">
        <v>4</v>
      </c>
    </row>
    <row r="9" customFormat="false" ht="15" hidden="false" customHeight="false" outlineLevel="0" collapsed="false">
      <c r="B9" s="1"/>
    </row>
    <row r="10" customFormat="false" ht="17.35" hidden="false" customHeight="false" outlineLevel="0" collapsed="false">
      <c r="B10" s="5" t="s">
        <v>5</v>
      </c>
    </row>
    <row r="11" customFormat="false" ht="45" hidden="false" customHeight="true" outlineLevel="0" collapsed="false">
      <c r="B11" s="6" t="s">
        <v>6</v>
      </c>
    </row>
    <row r="12" customFormat="false" ht="45" hidden="false" customHeight="true" outlineLevel="0" collapsed="false">
      <c r="B12" s="6" t="s">
        <v>7</v>
      </c>
    </row>
    <row r="13" customFormat="false" ht="45" hidden="false" customHeight="true" outlineLevel="0" collapsed="false">
      <c r="B13" s="6" t="s">
        <v>8</v>
      </c>
    </row>
    <row r="14" customFormat="false" ht="45" hidden="false" customHeight="true" outlineLevel="0" collapsed="false">
      <c r="B14" s="6" t="s">
        <v>9</v>
      </c>
    </row>
    <row r="15" customFormat="false" ht="45" hidden="false" customHeight="true" outlineLevel="0" collapsed="false">
      <c r="B15" s="6" t="s">
        <v>10</v>
      </c>
    </row>
    <row r="16" customFormat="false" ht="15" hidden="false" customHeight="false" outlineLevel="0" collapsed="false">
      <c r="B16" s="1"/>
    </row>
    <row r="17" customFormat="false" ht="17.35" hidden="false" customHeight="false" outlineLevel="0" collapsed="false">
      <c r="B17" s="5" t="s">
        <v>11</v>
      </c>
    </row>
    <row r="18" customFormat="false" ht="15" hidden="false" customHeight="false" outlineLevel="0" collapsed="false">
      <c r="B18" s="6" t="s">
        <v>12</v>
      </c>
    </row>
    <row r="19" customFormat="false" ht="15" hidden="false" customHeight="false" outlineLevel="0" collapsed="false">
      <c r="B19" s="6" t="s">
        <v>13</v>
      </c>
    </row>
    <row r="20" customFormat="false" ht="15" hidden="false" customHeight="false" outlineLevel="0" collapsed="false">
      <c r="B20" s="6" t="s">
        <v>14</v>
      </c>
    </row>
    <row r="21" customFormat="false" ht="15" hidden="false" customHeight="false" outlineLevel="0" collapsed="false">
      <c r="B21" s="6" t="s">
        <v>15</v>
      </c>
    </row>
    <row r="22" customFormat="false" ht="15" hidden="false" customHeight="false" outlineLevel="0" collapsed="false">
      <c r="B22" s="6" t="s">
        <v>16</v>
      </c>
    </row>
    <row r="23" customFormat="false" ht="15" hidden="false" customHeight="false" outlineLevel="0" collapsed="false">
      <c r="B23" s="6" t="s">
        <v>17</v>
      </c>
    </row>
    <row r="24" customFormat="false" ht="15" hidden="false" customHeight="false" outlineLevel="0" collapsed="false">
      <c r="B24" s="6" t="s">
        <v>18</v>
      </c>
    </row>
    <row r="25" customFormat="false" ht="15" hidden="false" customHeight="false" outlineLevel="0" collapsed="false">
      <c r="B25" s="7" t="s">
        <v>19</v>
      </c>
    </row>
    <row r="26" customFormat="false" ht="15" hidden="false" customHeight="false" outlineLevel="0" collapsed="false">
      <c r="B26" s="1"/>
    </row>
    <row r="27" customFormat="false" ht="17.35" hidden="false" customHeight="false" outlineLevel="0" collapsed="false">
      <c r="B27" s="5" t="s">
        <v>20</v>
      </c>
    </row>
    <row r="28" customFormat="false" ht="30" hidden="false" customHeight="true" outlineLevel="0" collapsed="false">
      <c r="B28" s="6" t="s">
        <v>21</v>
      </c>
    </row>
    <row r="29" customFormat="false" ht="30" hidden="false" customHeight="true" outlineLevel="0" collapsed="false">
      <c r="B29" s="6" t="s">
        <v>22</v>
      </c>
    </row>
    <row r="30" customFormat="false" ht="30" hidden="false" customHeight="true" outlineLevel="0" collapsed="false">
      <c r="B30" s="6" t="s">
        <v>23</v>
      </c>
    </row>
    <row r="31" customFormat="false" ht="30" hidden="false" customHeight="true" outlineLevel="0" collapsed="false">
      <c r="B31" s="6" t="s">
        <v>24</v>
      </c>
    </row>
    <row r="32" customFormat="false" ht="15" hidden="false" customHeight="false" outlineLevel="0" collapsed="false">
      <c r="B32" s="1"/>
    </row>
    <row r="33" customFormat="false" ht="15" hidden="false" customHeight="false" outlineLevel="0" collapsed="false">
      <c r="B33" s="1"/>
    </row>
    <row r="34" customFormat="false" ht="34.5" hidden="false" customHeight="true" outlineLevel="0" collapsed="false">
      <c r="B34" s="8" t="s">
        <v>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28"/>
    <col collapsed="false" customWidth="true" hidden="false" outlineLevel="0" max="3" min="3" style="0" width="35"/>
  </cols>
  <sheetData>
    <row r="1" customFormat="false" ht="31.5" hidden="false" customHeight="true" outlineLevel="0" collapsed="false">
      <c r="A1" s="9" t="s">
        <v>26</v>
      </c>
      <c r="B1" s="9"/>
      <c r="C1" s="9"/>
    </row>
    <row r="3" customFormat="false" ht="15" hidden="false" customHeight="false" outlineLevel="0" collapsed="false">
      <c r="A3" s="10" t="s">
        <v>27</v>
      </c>
      <c r="B3" s="11" t="s">
        <v>28</v>
      </c>
      <c r="C3" s="12" t="s">
        <v>29</v>
      </c>
    </row>
    <row r="4" customFormat="false" ht="15" hidden="false" customHeight="false" outlineLevel="0" collapsed="false">
      <c r="A4" s="10" t="s">
        <v>30</v>
      </c>
      <c r="B4" s="13" t="n">
        <v>1</v>
      </c>
      <c r="C4" s="12" t="s">
        <v>31</v>
      </c>
    </row>
    <row r="5" customFormat="false" ht="15" hidden="false" customHeight="false" outlineLevel="0" collapsed="false">
      <c r="A5" s="10" t="s">
        <v>32</v>
      </c>
      <c r="B5" s="13" t="n">
        <v>2026</v>
      </c>
      <c r="C5" s="12" t="s">
        <v>33</v>
      </c>
    </row>
    <row r="6" customFormat="false" ht="15" hidden="false" customHeight="false" outlineLevel="0" collapsed="false">
      <c r="A6" s="10" t="s">
        <v>34</v>
      </c>
      <c r="B6" s="13" t="n">
        <v>168</v>
      </c>
      <c r="C6" s="12" t="s">
        <v>35</v>
      </c>
    </row>
    <row r="7" customFormat="false" ht="15" hidden="false" customHeight="false" outlineLevel="0" collapsed="false">
      <c r="A7" s="10" t="s">
        <v>36</v>
      </c>
      <c r="B7" s="13" t="n">
        <v>8</v>
      </c>
      <c r="C7" s="12" t="s">
        <v>37</v>
      </c>
    </row>
    <row r="8" customFormat="false" ht="15" hidden="false" customHeight="false" outlineLevel="0" collapsed="false">
      <c r="A8" s="10" t="s">
        <v>38</v>
      </c>
      <c r="B8" s="11" t="s">
        <v>39</v>
      </c>
      <c r="C8" s="12" t="s">
        <v>40</v>
      </c>
    </row>
    <row r="9" customFormat="false" ht="15" hidden="false" customHeight="false" outlineLevel="0" collapsed="false">
      <c r="A9" s="10" t="s">
        <v>41</v>
      </c>
      <c r="B9" s="13" t="n">
        <v>2</v>
      </c>
      <c r="C9" s="12" t="s">
        <v>42</v>
      </c>
    </row>
    <row r="12" customFormat="false" ht="24" hidden="false" customHeight="true" outlineLevel="0" collapsed="false">
      <c r="A12" s="14" t="s">
        <v>43</v>
      </c>
      <c r="B12" s="14"/>
      <c r="C12" s="14"/>
    </row>
    <row r="13" customFormat="false" ht="15" hidden="false" customHeight="false" outlineLevel="0" collapsed="false">
      <c r="A13" s="15" t="s">
        <v>44</v>
      </c>
      <c r="B13" s="15" t="s">
        <v>45</v>
      </c>
      <c r="C13" s="15" t="s">
        <v>46</v>
      </c>
    </row>
    <row r="14" customFormat="false" ht="15" hidden="false" customHeight="false" outlineLevel="0" collapsed="false">
      <c r="A14" s="16" t="n">
        <v>1</v>
      </c>
      <c r="B14" s="17" t="n">
        <f aca="false">DATE(2026,1,1)</f>
        <v>46023</v>
      </c>
      <c r="C14" s="18" t="s">
        <v>47</v>
      </c>
    </row>
    <row r="15" customFormat="false" ht="15" hidden="false" customHeight="false" outlineLevel="0" collapsed="false">
      <c r="A15" s="16" t="n">
        <v>2</v>
      </c>
      <c r="B15" s="17" t="n">
        <f aca="false">DATE(2026,1,2)</f>
        <v>46024</v>
      </c>
      <c r="C15" s="18" t="s">
        <v>47</v>
      </c>
    </row>
    <row r="16" customFormat="false" ht="15" hidden="false" customHeight="false" outlineLevel="0" collapsed="false">
      <c r="A16" s="16" t="n">
        <v>3</v>
      </c>
      <c r="B16" s="17" t="n">
        <f aca="false">DATE(2026,1,7)</f>
        <v>46029</v>
      </c>
      <c r="C16" s="18" t="s">
        <v>48</v>
      </c>
    </row>
    <row r="17" customFormat="false" ht="15" hidden="false" customHeight="false" outlineLevel="0" collapsed="false">
      <c r="A17" s="16" t="n">
        <v>4</v>
      </c>
      <c r="B17" s="17" t="n">
        <f aca="false">DATE(2026,3,8)</f>
        <v>46089</v>
      </c>
      <c r="C17" s="18" t="s">
        <v>49</v>
      </c>
    </row>
    <row r="18" customFormat="false" ht="15" hidden="false" customHeight="false" outlineLevel="0" collapsed="false">
      <c r="A18" s="16" t="n">
        <v>5</v>
      </c>
      <c r="B18" s="17" t="n">
        <f aca="false">DATE(2026,3,21)</f>
        <v>46102</v>
      </c>
      <c r="C18" s="18" t="s">
        <v>50</v>
      </c>
    </row>
    <row r="19" customFormat="false" ht="15" hidden="false" customHeight="false" outlineLevel="0" collapsed="false">
      <c r="A19" s="16" t="n">
        <v>6</v>
      </c>
      <c r="B19" s="17" t="n">
        <f aca="false">DATE(2026,3,22)</f>
        <v>46103</v>
      </c>
      <c r="C19" s="18" t="s">
        <v>50</v>
      </c>
    </row>
    <row r="20" customFormat="false" ht="15" hidden="false" customHeight="false" outlineLevel="0" collapsed="false">
      <c r="A20" s="16" t="n">
        <v>7</v>
      </c>
      <c r="B20" s="17" t="n">
        <f aca="false">DATE(2026,3,23)</f>
        <v>46104</v>
      </c>
      <c r="C20" s="18" t="s">
        <v>50</v>
      </c>
    </row>
    <row r="21" customFormat="false" ht="15" hidden="false" customHeight="false" outlineLevel="0" collapsed="false">
      <c r="A21" s="16" t="n">
        <v>8</v>
      </c>
      <c r="B21" s="17" t="n">
        <f aca="false">DATE(2026,5,1)</f>
        <v>46143</v>
      </c>
      <c r="C21" s="18" t="s">
        <v>51</v>
      </c>
    </row>
    <row r="22" customFormat="false" ht="15" hidden="false" customHeight="false" outlineLevel="0" collapsed="false">
      <c r="A22" s="16" t="n">
        <v>9</v>
      </c>
      <c r="B22" s="17" t="n">
        <f aca="false">DATE(2026,5,7)</f>
        <v>46149</v>
      </c>
      <c r="C22" s="18" t="s">
        <v>52</v>
      </c>
    </row>
    <row r="23" customFormat="false" ht="15" hidden="false" customHeight="false" outlineLevel="0" collapsed="false">
      <c r="A23" s="16" t="n">
        <v>10</v>
      </c>
      <c r="B23" s="17" t="n">
        <f aca="false">DATE(2026,5,9)</f>
        <v>46151</v>
      </c>
      <c r="C23" s="18" t="s">
        <v>53</v>
      </c>
    </row>
    <row r="24" customFormat="false" ht="15" hidden="false" customHeight="false" outlineLevel="0" collapsed="false">
      <c r="A24" s="16" t="n">
        <v>11</v>
      </c>
      <c r="B24" s="17" t="n">
        <f aca="false">DATE(2026,7,6)</f>
        <v>46209</v>
      </c>
      <c r="C24" s="18" t="s">
        <v>54</v>
      </c>
    </row>
    <row r="25" customFormat="false" ht="15" hidden="false" customHeight="false" outlineLevel="0" collapsed="false">
      <c r="A25" s="16" t="n">
        <v>12</v>
      </c>
      <c r="B25" s="17" t="n">
        <f aca="false">DATE(2026,8,30)</f>
        <v>46264</v>
      </c>
      <c r="C25" s="18" t="s">
        <v>55</v>
      </c>
    </row>
    <row r="26" customFormat="false" ht="15" hidden="false" customHeight="false" outlineLevel="0" collapsed="false">
      <c r="A26" s="16" t="n">
        <v>13</v>
      </c>
      <c r="B26" s="17" t="n">
        <f aca="false">DATE(2026,10,25)</f>
        <v>46320</v>
      </c>
      <c r="C26" s="18" t="s">
        <v>56</v>
      </c>
    </row>
    <row r="27" customFormat="false" ht="15" hidden="false" customHeight="false" outlineLevel="0" collapsed="false">
      <c r="A27" s="16" t="n">
        <v>14</v>
      </c>
      <c r="B27" s="17" t="n">
        <f aca="false">DATE(2026,12,16)</f>
        <v>46372</v>
      </c>
      <c r="C27" s="18" t="s">
        <v>57</v>
      </c>
    </row>
  </sheetData>
  <sheetProtection sheet="true"/>
  <mergeCells count="2">
    <mergeCell ref="A1:C1"/>
    <mergeCell ref="A12:C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4"/>
    <col collapsed="false" customWidth="true" hidden="false" outlineLevel="0" max="4" min="3" style="0" width="28"/>
    <col collapsed="false" customWidth="true" hidden="false" outlineLevel="0" max="5" min="5" style="0" width="18"/>
    <col collapsed="false" customWidth="true" hidden="false" outlineLevel="0" max="7" min="6" style="0" width="16"/>
    <col collapsed="false" customWidth="true" hidden="false" outlineLevel="0" max="8" min="8" style="0" width="14"/>
    <col collapsed="false" customWidth="true" hidden="false" outlineLevel="0" max="9" min="9" style="0" width="12"/>
  </cols>
  <sheetData>
    <row r="1" customFormat="false" ht="31.5" hidden="false" customHeight="true" outlineLevel="0" collapsed="false">
      <c r="A1" s="9" t="s">
        <v>58</v>
      </c>
      <c r="B1" s="9"/>
      <c r="C1" s="9"/>
      <c r="D1" s="9"/>
      <c r="E1" s="9"/>
      <c r="F1" s="9"/>
      <c r="G1" s="9"/>
      <c r="H1" s="9"/>
      <c r="I1" s="9"/>
    </row>
    <row r="2" customFormat="false" ht="15" hidden="false" customHeight="false" outlineLevel="0" collapsed="false">
      <c r="A2" s="19" t="s">
        <v>59</v>
      </c>
      <c r="B2" s="19"/>
      <c r="C2" s="19"/>
      <c r="D2" s="19"/>
      <c r="E2" s="19"/>
      <c r="F2" s="19"/>
      <c r="G2" s="19"/>
      <c r="H2" s="19"/>
      <c r="I2" s="19"/>
    </row>
    <row r="3" customFormat="false" ht="31.5" hidden="false" customHeight="true" outlineLevel="0" collapsed="false">
      <c r="A3" s="20" t="s">
        <v>44</v>
      </c>
      <c r="B3" s="20" t="s">
        <v>60</v>
      </c>
      <c r="C3" s="20" t="s">
        <v>61</v>
      </c>
      <c r="D3" s="20" t="s">
        <v>62</v>
      </c>
      <c r="E3" s="20" t="s">
        <v>63</v>
      </c>
      <c r="F3" s="20" t="s">
        <v>64</v>
      </c>
      <c r="G3" s="20" t="s">
        <v>65</v>
      </c>
      <c r="H3" s="20" t="s">
        <v>66</v>
      </c>
      <c r="I3" s="20" t="s">
        <v>67</v>
      </c>
    </row>
    <row r="4" customFormat="false" ht="15" hidden="false" customHeight="false" outlineLevel="0" collapsed="false">
      <c r="A4" s="21" t="n">
        <v>1</v>
      </c>
      <c r="B4" s="22" t="s">
        <v>68</v>
      </c>
      <c r="C4" s="18" t="s">
        <v>69</v>
      </c>
      <c r="D4" s="18" t="s">
        <v>70</v>
      </c>
      <c r="E4" s="18" t="s">
        <v>71</v>
      </c>
      <c r="F4" s="23" t="n">
        <v>350000</v>
      </c>
      <c r="G4" s="24" t="n">
        <f aca="false">IFERROR(F4/Настройки!$B$6,0)</f>
        <v>2083.33333333333</v>
      </c>
      <c r="H4" s="21" t="s">
        <v>72</v>
      </c>
      <c r="I4" s="21" t="s">
        <v>73</v>
      </c>
    </row>
    <row r="5" customFormat="false" ht="15" hidden="false" customHeight="false" outlineLevel="0" collapsed="false">
      <c r="A5" s="25" t="n">
        <v>2</v>
      </c>
      <c r="B5" s="26" t="s">
        <v>74</v>
      </c>
      <c r="C5" s="27" t="s">
        <v>75</v>
      </c>
      <c r="D5" s="27" t="s">
        <v>76</v>
      </c>
      <c r="E5" s="27" t="s">
        <v>71</v>
      </c>
      <c r="F5" s="28" t="n">
        <v>450000</v>
      </c>
      <c r="G5" s="24" t="n">
        <f aca="false">IFERROR(F5/Настройки!$B$6,0)</f>
        <v>2678.57142857143</v>
      </c>
      <c r="H5" s="25" t="s">
        <v>77</v>
      </c>
      <c r="I5" s="25" t="s">
        <v>73</v>
      </c>
    </row>
    <row r="6" customFormat="false" ht="15" hidden="false" customHeight="false" outlineLevel="0" collapsed="false">
      <c r="A6" s="21" t="n">
        <v>3</v>
      </c>
      <c r="B6" s="22" t="s">
        <v>78</v>
      </c>
      <c r="C6" s="18" t="s">
        <v>79</v>
      </c>
      <c r="D6" s="18" t="s">
        <v>80</v>
      </c>
      <c r="E6" s="18" t="s">
        <v>81</v>
      </c>
      <c r="F6" s="23" t="n">
        <v>400000</v>
      </c>
      <c r="G6" s="24" t="n">
        <f aca="false">IFERROR(F6/Настройки!$B$6,0)</f>
        <v>2380.95238095238</v>
      </c>
      <c r="H6" s="21" t="s">
        <v>82</v>
      </c>
      <c r="I6" s="21" t="s">
        <v>73</v>
      </c>
    </row>
    <row r="7" customFormat="false" ht="15" hidden="false" customHeight="false" outlineLevel="0" collapsed="false">
      <c r="A7" s="25" t="n">
        <v>4</v>
      </c>
      <c r="B7" s="26" t="s">
        <v>83</v>
      </c>
      <c r="C7" s="27" t="s">
        <v>84</v>
      </c>
      <c r="D7" s="27" t="s">
        <v>85</v>
      </c>
      <c r="E7" s="27" t="s">
        <v>81</v>
      </c>
      <c r="F7" s="28" t="n">
        <v>650000</v>
      </c>
      <c r="G7" s="24" t="n">
        <f aca="false">IFERROR(F7/Настройки!$B$6,0)</f>
        <v>3869.04761904762</v>
      </c>
      <c r="H7" s="25" t="s">
        <v>86</v>
      </c>
      <c r="I7" s="25" t="s">
        <v>73</v>
      </c>
    </row>
    <row r="8" customFormat="false" ht="15" hidden="false" customHeight="false" outlineLevel="0" collapsed="false">
      <c r="A8" s="21" t="n">
        <v>5</v>
      </c>
      <c r="B8" s="22" t="s">
        <v>87</v>
      </c>
      <c r="C8" s="18" t="s">
        <v>88</v>
      </c>
      <c r="D8" s="18" t="s">
        <v>89</v>
      </c>
      <c r="E8" s="18" t="s">
        <v>90</v>
      </c>
      <c r="F8" s="23" t="n">
        <v>380000</v>
      </c>
      <c r="G8" s="24" t="n">
        <f aca="false">IFERROR(F8/Настройки!$B$6,0)</f>
        <v>2261.90476190476</v>
      </c>
      <c r="H8" s="21" t="s">
        <v>91</v>
      </c>
      <c r="I8" s="21" t="s">
        <v>73</v>
      </c>
    </row>
    <row r="9" customFormat="false" ht="15" hidden="false" customHeight="false" outlineLevel="0" collapsed="false">
      <c r="A9" s="25" t="n">
        <v>6</v>
      </c>
      <c r="B9" s="26" t="s">
        <v>92</v>
      </c>
      <c r="C9" s="27" t="s">
        <v>93</v>
      </c>
      <c r="D9" s="27" t="s">
        <v>94</v>
      </c>
      <c r="E9" s="27" t="s">
        <v>90</v>
      </c>
      <c r="F9" s="28" t="n">
        <v>350000</v>
      </c>
      <c r="G9" s="24" t="n">
        <f aca="false">IFERROR(F9/Настройки!$B$6,0)</f>
        <v>2083.33333333333</v>
      </c>
      <c r="H9" s="25" t="s">
        <v>95</v>
      </c>
      <c r="I9" s="25" t="s">
        <v>73</v>
      </c>
    </row>
    <row r="10" customFormat="false" ht="15" hidden="false" customHeight="false" outlineLevel="0" collapsed="false">
      <c r="A10" s="21" t="n">
        <v>7</v>
      </c>
      <c r="B10" s="22" t="s">
        <v>96</v>
      </c>
      <c r="C10" s="18" t="s">
        <v>97</v>
      </c>
      <c r="D10" s="18" t="s">
        <v>98</v>
      </c>
      <c r="E10" s="18" t="s">
        <v>99</v>
      </c>
      <c r="F10" s="23" t="n">
        <v>550000</v>
      </c>
      <c r="G10" s="24" t="n">
        <f aca="false">IFERROR(F10/Настройки!$B$6,0)</f>
        <v>3273.80952380952</v>
      </c>
      <c r="H10" s="21" t="s">
        <v>100</v>
      </c>
      <c r="I10" s="21" t="s">
        <v>73</v>
      </c>
    </row>
    <row r="11" customFormat="false" ht="15" hidden="false" customHeight="false" outlineLevel="0" collapsed="false">
      <c r="A11" s="25" t="n">
        <v>8</v>
      </c>
      <c r="B11" s="26" t="s">
        <v>101</v>
      </c>
      <c r="C11" s="27" t="s">
        <v>102</v>
      </c>
      <c r="D11" s="27" t="s">
        <v>103</v>
      </c>
      <c r="E11" s="27" t="s">
        <v>99</v>
      </c>
      <c r="F11" s="28" t="n">
        <v>450000</v>
      </c>
      <c r="G11" s="24" t="n">
        <f aca="false">IFERROR(F11/Настройки!$B$6,0)</f>
        <v>2678.57142857143</v>
      </c>
      <c r="H11" s="25" t="s">
        <v>104</v>
      </c>
      <c r="I11" s="25" t="s">
        <v>73</v>
      </c>
    </row>
    <row r="12" customFormat="false" ht="15" hidden="false" customHeight="false" outlineLevel="0" collapsed="false">
      <c r="A12" s="21" t="n">
        <v>9</v>
      </c>
      <c r="B12" s="22" t="s">
        <v>105</v>
      </c>
      <c r="C12" s="18" t="s">
        <v>106</v>
      </c>
      <c r="D12" s="18" t="s">
        <v>107</v>
      </c>
      <c r="E12" s="18" t="s">
        <v>108</v>
      </c>
      <c r="F12" s="23" t="n">
        <v>400000</v>
      </c>
      <c r="G12" s="24" t="n">
        <f aca="false">IFERROR(F12/Настройки!$B$6,0)</f>
        <v>2380.95238095238</v>
      </c>
      <c r="H12" s="21" t="s">
        <v>109</v>
      </c>
      <c r="I12" s="21" t="s">
        <v>73</v>
      </c>
    </row>
    <row r="13" customFormat="false" ht="15" hidden="false" customHeight="false" outlineLevel="0" collapsed="false">
      <c r="A13" s="25" t="n">
        <v>10</v>
      </c>
      <c r="B13" s="26" t="s">
        <v>110</v>
      </c>
      <c r="C13" s="27" t="s">
        <v>111</v>
      </c>
      <c r="D13" s="27" t="s">
        <v>112</v>
      </c>
      <c r="E13" s="27" t="s">
        <v>71</v>
      </c>
      <c r="F13" s="28" t="n">
        <v>700000</v>
      </c>
      <c r="G13" s="24" t="n">
        <f aca="false">IFERROR(F13/Настройки!$B$6,0)</f>
        <v>4166.66666666667</v>
      </c>
      <c r="H13" s="25" t="s">
        <v>113</v>
      </c>
      <c r="I13" s="25" t="s">
        <v>73</v>
      </c>
    </row>
    <row r="14" customFormat="false" ht="15" hidden="false" customHeight="false" outlineLevel="0" collapsed="false">
      <c r="A14" s="21" t="n">
        <v>11</v>
      </c>
      <c r="B14" s="22" t="s">
        <v>114</v>
      </c>
      <c r="C14" s="18" t="s">
        <v>115</v>
      </c>
      <c r="D14" s="18" t="s">
        <v>116</v>
      </c>
      <c r="E14" s="18" t="s">
        <v>117</v>
      </c>
      <c r="F14" s="23" t="n">
        <v>300000</v>
      </c>
      <c r="G14" s="24" t="n">
        <f aca="false">IFERROR(F14/Настройки!$B$6,0)</f>
        <v>1785.71428571429</v>
      </c>
      <c r="H14" s="21" t="s">
        <v>118</v>
      </c>
      <c r="I14" s="21" t="s">
        <v>73</v>
      </c>
    </row>
    <row r="15" customFormat="false" ht="15" hidden="false" customHeight="false" outlineLevel="0" collapsed="false">
      <c r="A15" s="25" t="n">
        <v>12</v>
      </c>
      <c r="B15" s="26" t="s">
        <v>119</v>
      </c>
      <c r="C15" s="27" t="s">
        <v>120</v>
      </c>
      <c r="D15" s="27" t="s">
        <v>121</v>
      </c>
      <c r="E15" s="27" t="s">
        <v>122</v>
      </c>
      <c r="F15" s="28" t="n">
        <v>280000</v>
      </c>
      <c r="G15" s="24" t="n">
        <f aca="false">IFERROR(F15/Настройки!$B$6,0)</f>
        <v>1666.66666666667</v>
      </c>
      <c r="H15" s="25" t="s">
        <v>123</v>
      </c>
      <c r="I15" s="25" t="s">
        <v>73</v>
      </c>
    </row>
    <row r="16" customFormat="false" ht="15" hidden="false" customHeight="false" outlineLevel="0" collapsed="false">
      <c r="A16" s="21" t="n">
        <v>13</v>
      </c>
      <c r="B16" s="22" t="s">
        <v>124</v>
      </c>
      <c r="C16" s="18" t="s">
        <v>125</v>
      </c>
      <c r="D16" s="18" t="s">
        <v>126</v>
      </c>
      <c r="E16" s="18" t="s">
        <v>81</v>
      </c>
      <c r="F16" s="23" t="n">
        <v>480000</v>
      </c>
      <c r="G16" s="24" t="n">
        <f aca="false">IFERROR(F16/Настройки!$B$6,0)</f>
        <v>2857.14285714286</v>
      </c>
      <c r="H16" s="21" t="s">
        <v>127</v>
      </c>
      <c r="I16" s="21" t="s">
        <v>73</v>
      </c>
    </row>
    <row r="17" customFormat="false" ht="15" hidden="false" customHeight="false" outlineLevel="0" collapsed="false">
      <c r="A17" s="25" t="n">
        <v>14</v>
      </c>
      <c r="B17" s="26" t="s">
        <v>128</v>
      </c>
      <c r="C17" s="27" t="s">
        <v>129</v>
      </c>
      <c r="D17" s="27" t="s">
        <v>130</v>
      </c>
      <c r="E17" s="27" t="s">
        <v>131</v>
      </c>
      <c r="F17" s="28" t="n">
        <v>520000</v>
      </c>
      <c r="G17" s="24" t="n">
        <f aca="false">IFERROR(F17/Настройки!$B$6,0)</f>
        <v>3095.2380952381</v>
      </c>
      <c r="H17" s="25" t="s">
        <v>132</v>
      </c>
      <c r="I17" s="25" t="s">
        <v>73</v>
      </c>
    </row>
    <row r="18" customFormat="false" ht="15" hidden="false" customHeight="false" outlineLevel="0" collapsed="false">
      <c r="A18" s="21" t="n">
        <v>15</v>
      </c>
      <c r="B18" s="22" t="s">
        <v>133</v>
      </c>
      <c r="C18" s="18" t="s">
        <v>134</v>
      </c>
      <c r="D18" s="18" t="s">
        <v>135</v>
      </c>
      <c r="E18" s="18" t="s">
        <v>117</v>
      </c>
      <c r="F18" s="23" t="n">
        <v>250000</v>
      </c>
      <c r="G18" s="24" t="n">
        <f aca="false">IFERROR(F18/Настройки!$B$6,0)</f>
        <v>1488.09523809524</v>
      </c>
      <c r="H18" s="21" t="s">
        <v>136</v>
      </c>
      <c r="I18" s="21" t="s">
        <v>73</v>
      </c>
    </row>
    <row r="19" customFormat="false" ht="15" hidden="false" customHeight="false" outlineLevel="0" collapsed="false">
      <c r="A19" s="25" t="n">
        <v>16</v>
      </c>
      <c r="B19" s="26" t="s">
        <v>137</v>
      </c>
      <c r="C19" s="27" t="s">
        <v>138</v>
      </c>
      <c r="D19" s="27" t="s">
        <v>139</v>
      </c>
      <c r="E19" s="27" t="s">
        <v>140</v>
      </c>
      <c r="F19" s="28" t="n">
        <v>270000</v>
      </c>
      <c r="G19" s="24" t="n">
        <f aca="false">IFERROR(F19/Настройки!$B$6,0)</f>
        <v>1607.14285714286</v>
      </c>
      <c r="H19" s="25" t="s">
        <v>141</v>
      </c>
      <c r="I19" s="25" t="s">
        <v>73</v>
      </c>
    </row>
    <row r="20" customFormat="false" ht="15" hidden="false" customHeight="false" outlineLevel="0" collapsed="false">
      <c r="A20" s="21" t="n">
        <v>17</v>
      </c>
      <c r="B20" s="22" t="s">
        <v>142</v>
      </c>
      <c r="C20" s="18" t="s">
        <v>143</v>
      </c>
      <c r="D20" s="18" t="s">
        <v>144</v>
      </c>
      <c r="E20" s="18" t="s">
        <v>117</v>
      </c>
      <c r="F20" s="23" t="n">
        <v>260000</v>
      </c>
      <c r="G20" s="24" t="n">
        <f aca="false">IFERROR(F20/Настройки!$B$6,0)</f>
        <v>1547.61904761905</v>
      </c>
      <c r="H20" s="21" t="s">
        <v>145</v>
      </c>
      <c r="I20" s="21" t="s">
        <v>73</v>
      </c>
    </row>
    <row r="21" customFormat="false" ht="15" hidden="false" customHeight="false" outlineLevel="0" collapsed="false">
      <c r="A21" s="25" t="n">
        <v>18</v>
      </c>
      <c r="B21" s="26" t="s">
        <v>146</v>
      </c>
      <c r="C21" s="27" t="s">
        <v>147</v>
      </c>
      <c r="D21" s="27" t="s">
        <v>70</v>
      </c>
      <c r="E21" s="27" t="s">
        <v>71</v>
      </c>
      <c r="F21" s="28" t="n">
        <v>350000</v>
      </c>
      <c r="G21" s="24" t="n">
        <f aca="false">IFERROR(F21/Настройки!$B$6,0)</f>
        <v>2083.33333333333</v>
      </c>
      <c r="H21" s="25" t="s">
        <v>148</v>
      </c>
      <c r="I21" s="25" t="s">
        <v>73</v>
      </c>
    </row>
    <row r="22" customFormat="false" ht="15" hidden="false" customHeight="false" outlineLevel="0" collapsed="false">
      <c r="A22" s="21" t="n">
        <v>19</v>
      </c>
      <c r="B22" s="22" t="s">
        <v>149</v>
      </c>
      <c r="C22" s="18" t="s">
        <v>150</v>
      </c>
      <c r="D22" s="18" t="s">
        <v>151</v>
      </c>
      <c r="E22" s="18" t="s">
        <v>90</v>
      </c>
      <c r="F22" s="23" t="n">
        <v>320000</v>
      </c>
      <c r="G22" s="24" t="n">
        <f aca="false">IFERROR(F22/Настройки!$B$6,0)</f>
        <v>1904.7619047619</v>
      </c>
      <c r="H22" s="21" t="s">
        <v>152</v>
      </c>
      <c r="I22" s="21" t="s">
        <v>73</v>
      </c>
    </row>
    <row r="23" customFormat="false" ht="15" hidden="false" customHeight="false" outlineLevel="0" collapsed="false">
      <c r="A23" s="25" t="n">
        <v>20</v>
      </c>
      <c r="B23" s="26" t="s">
        <v>153</v>
      </c>
      <c r="C23" s="27" t="s">
        <v>154</v>
      </c>
      <c r="D23" s="27" t="s">
        <v>155</v>
      </c>
      <c r="E23" s="27" t="s">
        <v>99</v>
      </c>
      <c r="F23" s="28" t="n">
        <v>420000</v>
      </c>
      <c r="G23" s="24" t="n">
        <f aca="false">IFERROR(F23/Настройки!$B$6,0)</f>
        <v>2500</v>
      </c>
      <c r="H23" s="25" t="s">
        <v>156</v>
      </c>
      <c r="I23" s="25" t="s">
        <v>73</v>
      </c>
    </row>
  </sheetData>
  <sheetProtection sheet="true"/>
  <mergeCells count="2">
    <mergeCell ref="A1:I1"/>
    <mergeCell ref="A2:I2"/>
  </mergeCells>
  <dataValidations count="1">
    <dataValidation allowBlank="true" errorStyle="stop" operator="between" showDropDown="false" showErrorMessage="false" showInputMessage="false" sqref="I4:I23" type="list">
      <formula1>"Работает,Уволен,В отпуске"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5"/>
    <col collapsed="false" customWidth="true" hidden="false" outlineLevel="0" max="3" min="3" style="0" width="55"/>
    <col collapsed="false" customWidth="true" hidden="false" outlineLevel="0" max="4" min="4" style="0" width="22"/>
  </cols>
  <sheetData>
    <row r="1" customFormat="false" ht="31.5" hidden="false" customHeight="true" outlineLevel="0" collapsed="false">
      <c r="A1" s="9" t="s">
        <v>157</v>
      </c>
      <c r="B1" s="9"/>
      <c r="C1" s="9"/>
      <c r="D1" s="9"/>
    </row>
    <row r="2" customFormat="false" ht="15" hidden="false" customHeight="false" outlineLevel="0" collapsed="false">
      <c r="A2" s="19" t="s">
        <v>158</v>
      </c>
      <c r="B2" s="19"/>
      <c r="C2" s="19"/>
      <c r="D2" s="19"/>
    </row>
    <row r="3" customFormat="false" ht="31.5" hidden="false" customHeight="true" outlineLevel="0" collapsed="false">
      <c r="A3" s="20" t="s">
        <v>159</v>
      </c>
      <c r="B3" s="20" t="s">
        <v>160</v>
      </c>
      <c r="C3" s="20" t="s">
        <v>161</v>
      </c>
      <c r="D3" s="20" t="s">
        <v>162</v>
      </c>
    </row>
    <row r="4" customFormat="false" ht="21.75" hidden="false" customHeight="true" outlineLevel="0" collapsed="false">
      <c r="A4" s="29" t="s">
        <v>163</v>
      </c>
      <c r="B4" s="30" t="s">
        <v>164</v>
      </c>
      <c r="C4" s="30" t="s">
        <v>165</v>
      </c>
      <c r="D4" s="31" t="s">
        <v>166</v>
      </c>
    </row>
    <row r="5" customFormat="false" ht="21.75" hidden="false" customHeight="true" outlineLevel="0" collapsed="false">
      <c r="A5" s="32" t="s">
        <v>167</v>
      </c>
      <c r="B5" s="30" t="s">
        <v>168</v>
      </c>
      <c r="C5" s="30" t="s">
        <v>169</v>
      </c>
      <c r="D5" s="31" t="s">
        <v>166</v>
      </c>
    </row>
    <row r="6" customFormat="false" ht="21.75" hidden="false" customHeight="true" outlineLevel="0" collapsed="false">
      <c r="A6" s="33" t="s">
        <v>170</v>
      </c>
      <c r="B6" s="30" t="s">
        <v>171</v>
      </c>
      <c r="C6" s="30" t="s">
        <v>172</v>
      </c>
      <c r="D6" s="31" t="s">
        <v>173</v>
      </c>
    </row>
    <row r="7" customFormat="false" ht="21.75" hidden="false" customHeight="true" outlineLevel="0" collapsed="false">
      <c r="A7" s="34" t="s">
        <v>174</v>
      </c>
      <c r="B7" s="30" t="s">
        <v>175</v>
      </c>
      <c r="C7" s="30" t="s">
        <v>176</v>
      </c>
      <c r="D7" s="31" t="s">
        <v>173</v>
      </c>
    </row>
    <row r="8" customFormat="false" ht="21.75" hidden="false" customHeight="true" outlineLevel="0" collapsed="false">
      <c r="A8" s="35" t="s">
        <v>177</v>
      </c>
      <c r="B8" s="30" t="s">
        <v>178</v>
      </c>
      <c r="C8" s="30" t="s">
        <v>179</v>
      </c>
      <c r="D8" s="31" t="s">
        <v>173</v>
      </c>
    </row>
    <row r="9" customFormat="false" ht="21.75" hidden="false" customHeight="true" outlineLevel="0" collapsed="false">
      <c r="A9" s="35" t="s">
        <v>180</v>
      </c>
      <c r="B9" s="30" t="s">
        <v>181</v>
      </c>
      <c r="C9" s="30" t="s">
        <v>182</v>
      </c>
      <c r="D9" s="31" t="s">
        <v>173</v>
      </c>
    </row>
    <row r="10" customFormat="false" ht="21.75" hidden="false" customHeight="true" outlineLevel="0" collapsed="false">
      <c r="A10" s="35" t="s">
        <v>183</v>
      </c>
      <c r="B10" s="30" t="s">
        <v>184</v>
      </c>
      <c r="C10" s="30" t="s">
        <v>185</v>
      </c>
      <c r="D10" s="31" t="s">
        <v>186</v>
      </c>
    </row>
    <row r="11" customFormat="false" ht="21.75" hidden="false" customHeight="true" outlineLevel="0" collapsed="false">
      <c r="A11" s="36" t="s">
        <v>187</v>
      </c>
      <c r="B11" s="30" t="s">
        <v>188</v>
      </c>
      <c r="C11" s="30" t="s">
        <v>189</v>
      </c>
      <c r="D11" s="31" t="s">
        <v>173</v>
      </c>
    </row>
    <row r="12" customFormat="false" ht="21.75" hidden="false" customHeight="true" outlineLevel="0" collapsed="false">
      <c r="A12" s="37" t="s">
        <v>190</v>
      </c>
      <c r="B12" s="30" t="s">
        <v>191</v>
      </c>
      <c r="C12" s="30" t="s">
        <v>192</v>
      </c>
      <c r="D12" s="31" t="s">
        <v>173</v>
      </c>
    </row>
    <row r="13" customFormat="false" ht="21.75" hidden="false" customHeight="true" outlineLevel="0" collapsed="false">
      <c r="A13" s="37" t="s">
        <v>193</v>
      </c>
      <c r="B13" s="30" t="s">
        <v>194</v>
      </c>
      <c r="C13" s="30" t="s">
        <v>195</v>
      </c>
      <c r="D13" s="31" t="s">
        <v>173</v>
      </c>
    </row>
    <row r="14" customFormat="false" ht="21.75" hidden="false" customHeight="true" outlineLevel="0" collapsed="false">
      <c r="A14" s="38" t="s">
        <v>196</v>
      </c>
      <c r="B14" s="30" t="s">
        <v>197</v>
      </c>
      <c r="C14" s="30" t="s">
        <v>198</v>
      </c>
      <c r="D14" s="31" t="s">
        <v>173</v>
      </c>
    </row>
    <row r="15" customFormat="false" ht="21.75" hidden="false" customHeight="true" outlineLevel="0" collapsed="false">
      <c r="A15" s="38" t="s">
        <v>199</v>
      </c>
      <c r="B15" s="30" t="s">
        <v>200</v>
      </c>
      <c r="C15" s="30" t="s">
        <v>201</v>
      </c>
      <c r="D15" s="31" t="s">
        <v>173</v>
      </c>
    </row>
    <row r="16" customFormat="false" ht="21.75" hidden="false" customHeight="true" outlineLevel="0" collapsed="false">
      <c r="A16" s="39" t="s">
        <v>202</v>
      </c>
      <c r="B16" s="30" t="s">
        <v>203</v>
      </c>
      <c r="C16" s="30" t="s">
        <v>204</v>
      </c>
      <c r="D16" s="31" t="s">
        <v>205</v>
      </c>
    </row>
    <row r="17" customFormat="false" ht="21.75" hidden="false" customHeight="true" outlineLevel="0" collapsed="false">
      <c r="A17" s="39" t="s">
        <v>206</v>
      </c>
      <c r="B17" s="30" t="s">
        <v>207</v>
      </c>
      <c r="C17" s="30" t="s">
        <v>208</v>
      </c>
      <c r="D17" s="31" t="s">
        <v>209</v>
      </c>
    </row>
    <row r="18" customFormat="false" ht="21.75" hidden="false" customHeight="true" outlineLevel="0" collapsed="false">
      <c r="A18" s="32" t="s">
        <v>210</v>
      </c>
      <c r="B18" s="30" t="s">
        <v>211</v>
      </c>
      <c r="C18" s="30" t="s">
        <v>212</v>
      </c>
      <c r="D18" s="31" t="s">
        <v>166</v>
      </c>
    </row>
    <row r="19" customFormat="false" ht="21.75" hidden="false" customHeight="true" outlineLevel="0" collapsed="false">
      <c r="A19" s="33" t="s">
        <v>213</v>
      </c>
      <c r="B19" s="30" t="s">
        <v>214</v>
      </c>
      <c r="C19" s="30" t="s">
        <v>215</v>
      </c>
      <c r="D19" s="31" t="s">
        <v>173</v>
      </c>
    </row>
  </sheetData>
  <sheetProtection sheet="true"/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1"/>
    <col collapsed="false" customWidth="true" hidden="false" outlineLevel="0" max="4" min="3" style="0" width="22"/>
    <col collapsed="false" customWidth="true" hidden="false" outlineLevel="0" max="35" min="5" style="0" width="4.5"/>
    <col collapsed="false" customWidth="true" hidden="false" outlineLevel="0" max="36" min="36" style="0" width="11"/>
    <col collapsed="false" customWidth="true" hidden="false" outlineLevel="0" max="37" min="37" style="0" width="10"/>
    <col collapsed="false" customWidth="true" hidden="false" outlineLevel="0" max="39" min="38" style="0" width="13"/>
    <col collapsed="false" customWidth="true" hidden="false" outlineLevel="0" max="40" min="40" style="0" width="16"/>
  </cols>
  <sheetData>
    <row r="1" customFormat="false" ht="27.75" hidden="false" customHeight="true" outlineLevel="0" collapsed="false">
      <c r="A1" s="40" t="str">
        <f aca="false">Настройки!B3</f>
        <v>ООО «Пример»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 t="str">
        <f aca="false">"Период: "&amp;CHOOSE(Настройки!B4,"Январь","Февраль","Март","Апрель","Май","Июнь","Июль","Август","Сентябрь","Октябрь","Ноябрь","Декабрь")&amp;" "&amp;Настройки!B5</f>
        <v>Период: Январь 2026</v>
      </c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</row>
    <row r="2" customFormat="false" ht="15" hidden="false" customHeight="false" outlineLevel="0" collapsed="false">
      <c r="A2" s="19" t="s">
        <v>216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4" customFormat="false" ht="36" hidden="false" customHeight="true" outlineLevel="0" collapsed="false">
      <c r="A4" s="42" t="s">
        <v>44</v>
      </c>
      <c r="B4" s="42" t="s">
        <v>60</v>
      </c>
      <c r="C4" s="42" t="s">
        <v>61</v>
      </c>
      <c r="D4" s="42" t="s">
        <v>62</v>
      </c>
      <c r="E4" s="43" t="n">
        <v>1</v>
      </c>
      <c r="F4" s="43" t="n">
        <v>2</v>
      </c>
      <c r="G4" s="43" t="n">
        <v>3</v>
      </c>
      <c r="H4" s="43" t="n">
        <v>4</v>
      </c>
      <c r="I4" s="43" t="n">
        <v>5</v>
      </c>
      <c r="J4" s="43" t="n">
        <v>6</v>
      </c>
      <c r="K4" s="43" t="n">
        <v>7</v>
      </c>
      <c r="L4" s="43" t="n">
        <v>8</v>
      </c>
      <c r="M4" s="43" t="n">
        <v>9</v>
      </c>
      <c r="N4" s="43" t="n">
        <v>10</v>
      </c>
      <c r="O4" s="43" t="n">
        <v>11</v>
      </c>
      <c r="P4" s="43" t="n">
        <v>12</v>
      </c>
      <c r="Q4" s="43" t="n">
        <v>13</v>
      </c>
      <c r="R4" s="43" t="n">
        <v>14</v>
      </c>
      <c r="S4" s="43" t="n">
        <v>15</v>
      </c>
      <c r="T4" s="43" t="n">
        <v>16</v>
      </c>
      <c r="U4" s="43" t="n">
        <v>17</v>
      </c>
      <c r="V4" s="43" t="n">
        <v>18</v>
      </c>
      <c r="W4" s="43" t="n">
        <v>19</v>
      </c>
      <c r="X4" s="43" t="n">
        <v>20</v>
      </c>
      <c r="Y4" s="43" t="n">
        <v>21</v>
      </c>
      <c r="Z4" s="43" t="n">
        <v>22</v>
      </c>
      <c r="AA4" s="43" t="n">
        <v>23</v>
      </c>
      <c r="AB4" s="43" t="n">
        <v>24</v>
      </c>
      <c r="AC4" s="43" t="n">
        <v>25</v>
      </c>
      <c r="AD4" s="43" t="n">
        <v>26</v>
      </c>
      <c r="AE4" s="43" t="n">
        <v>27</v>
      </c>
      <c r="AF4" s="43" t="n">
        <v>28</v>
      </c>
      <c r="AG4" s="43" t="n">
        <v>29</v>
      </c>
      <c r="AH4" s="43" t="n">
        <v>30</v>
      </c>
      <c r="AI4" s="43" t="n">
        <v>31</v>
      </c>
      <c r="AJ4" s="42" t="s">
        <v>217</v>
      </c>
      <c r="AK4" s="42" t="s">
        <v>218</v>
      </c>
      <c r="AL4" s="42" t="s">
        <v>219</v>
      </c>
      <c r="AM4" s="42" t="s">
        <v>220</v>
      </c>
      <c r="AN4" s="42" t="s">
        <v>221</v>
      </c>
    </row>
    <row r="5" customFormat="false" ht="18" hidden="false" customHeight="true" outlineLevel="0" collapsed="false">
      <c r="A5" s="44"/>
      <c r="B5" s="44"/>
      <c r="C5" s="44"/>
      <c r="D5" s="44"/>
      <c r="E5" s="45" t="str">
        <f aca="false">IFERROR(CHOOSE(WEEKDAY(DATE(Настройки!$B$5,Настройки!$B$4,E$4),2),"Пн","Вт","Ср","Чт","Пт","Сб","Вс"),"")</f>
        <v>Чт</v>
      </c>
      <c r="F5" s="45" t="str">
        <f aca="false">IFERROR(CHOOSE(WEEKDAY(DATE(Настройки!$B$5,Настройки!$B$4,F$4),2),"Пн","Вт","Ср","Чт","Пт","Сб","Вс"),"")</f>
        <v>Пт</v>
      </c>
      <c r="G5" s="45" t="str">
        <f aca="false">IFERROR(CHOOSE(WEEKDAY(DATE(Настройки!$B$5,Настройки!$B$4,G$4),2),"Пн","Вт","Ср","Чт","Пт","Сб","Вс"),"")</f>
        <v>Сб</v>
      </c>
      <c r="H5" s="45" t="str">
        <f aca="false">IFERROR(CHOOSE(WEEKDAY(DATE(Настройки!$B$5,Настройки!$B$4,H$4),2),"Пн","Вт","Ср","Чт","Пт","Сб","Вс"),"")</f>
        <v>Вс</v>
      </c>
      <c r="I5" s="45" t="str">
        <f aca="false">IFERROR(CHOOSE(WEEKDAY(DATE(Настройки!$B$5,Настройки!$B$4,I$4),2),"Пн","Вт","Ср","Чт","Пт","Сб","Вс"),"")</f>
        <v>Пн</v>
      </c>
      <c r="J5" s="45" t="str">
        <f aca="false">IFERROR(CHOOSE(WEEKDAY(DATE(Настройки!$B$5,Настройки!$B$4,J$4),2),"Пн","Вт","Ср","Чт","Пт","Сб","Вс"),"")</f>
        <v>Вт</v>
      </c>
      <c r="K5" s="45" t="str">
        <f aca="false">IFERROR(CHOOSE(WEEKDAY(DATE(Настройки!$B$5,Настройки!$B$4,K$4),2),"Пн","Вт","Ср","Чт","Пт","Сб","Вс"),"")</f>
        <v>Ср</v>
      </c>
      <c r="L5" s="45" t="str">
        <f aca="false">IFERROR(CHOOSE(WEEKDAY(DATE(Настройки!$B$5,Настройки!$B$4,L$4),2),"Пн","Вт","Ср","Чт","Пт","Сб","Вс"),"")</f>
        <v>Чт</v>
      </c>
      <c r="M5" s="45" t="str">
        <f aca="false">IFERROR(CHOOSE(WEEKDAY(DATE(Настройки!$B$5,Настройки!$B$4,M$4),2),"Пн","Вт","Ср","Чт","Пт","Сб","Вс"),"")</f>
        <v>Пт</v>
      </c>
      <c r="N5" s="45" t="str">
        <f aca="false">IFERROR(CHOOSE(WEEKDAY(DATE(Настройки!$B$5,Настройки!$B$4,N$4),2),"Пн","Вт","Ср","Чт","Пт","Сб","Вс"),"")</f>
        <v>Сб</v>
      </c>
      <c r="O5" s="45" t="str">
        <f aca="false">IFERROR(CHOOSE(WEEKDAY(DATE(Настройки!$B$5,Настройки!$B$4,O$4),2),"Пн","Вт","Ср","Чт","Пт","Сб","Вс"),"")</f>
        <v>Вс</v>
      </c>
      <c r="P5" s="45" t="str">
        <f aca="false">IFERROR(CHOOSE(WEEKDAY(DATE(Настройки!$B$5,Настройки!$B$4,P$4),2),"Пн","Вт","Ср","Чт","Пт","Сб","Вс"),"")</f>
        <v>Пн</v>
      </c>
      <c r="Q5" s="45" t="str">
        <f aca="false">IFERROR(CHOOSE(WEEKDAY(DATE(Настройки!$B$5,Настройки!$B$4,Q$4),2),"Пн","Вт","Ср","Чт","Пт","Сб","Вс"),"")</f>
        <v>Вт</v>
      </c>
      <c r="R5" s="45" t="str">
        <f aca="false">IFERROR(CHOOSE(WEEKDAY(DATE(Настройки!$B$5,Настройки!$B$4,R$4),2),"Пн","Вт","Ср","Чт","Пт","Сб","Вс"),"")</f>
        <v>Ср</v>
      </c>
      <c r="S5" s="45" t="str">
        <f aca="false">IFERROR(CHOOSE(WEEKDAY(DATE(Настройки!$B$5,Настройки!$B$4,S$4),2),"Пн","Вт","Ср","Чт","Пт","Сб","Вс"),"")</f>
        <v>Чт</v>
      </c>
      <c r="T5" s="45" t="str">
        <f aca="false">IFERROR(CHOOSE(WEEKDAY(DATE(Настройки!$B$5,Настройки!$B$4,T$4),2),"Пн","Вт","Ср","Чт","Пт","Сб","Вс"),"")</f>
        <v>Пт</v>
      </c>
      <c r="U5" s="45" t="str">
        <f aca="false">IFERROR(CHOOSE(WEEKDAY(DATE(Настройки!$B$5,Настройки!$B$4,U$4),2),"Пн","Вт","Ср","Чт","Пт","Сб","Вс"),"")</f>
        <v>Сб</v>
      </c>
      <c r="V5" s="45" t="str">
        <f aca="false">IFERROR(CHOOSE(WEEKDAY(DATE(Настройки!$B$5,Настройки!$B$4,V$4),2),"Пн","Вт","Ср","Чт","Пт","Сб","Вс"),"")</f>
        <v>Вс</v>
      </c>
      <c r="W5" s="45" t="str">
        <f aca="false">IFERROR(CHOOSE(WEEKDAY(DATE(Настройки!$B$5,Настройки!$B$4,W$4),2),"Пн","Вт","Ср","Чт","Пт","Сб","Вс"),"")</f>
        <v>Пн</v>
      </c>
      <c r="X5" s="45" t="str">
        <f aca="false">IFERROR(CHOOSE(WEEKDAY(DATE(Настройки!$B$5,Настройки!$B$4,X$4),2),"Пн","Вт","Ср","Чт","Пт","Сб","Вс"),"")</f>
        <v>Вт</v>
      </c>
      <c r="Y5" s="45" t="str">
        <f aca="false">IFERROR(CHOOSE(WEEKDAY(DATE(Настройки!$B$5,Настройки!$B$4,Y$4),2),"Пн","Вт","Ср","Чт","Пт","Сб","Вс"),"")</f>
        <v>Ср</v>
      </c>
      <c r="Z5" s="45" t="str">
        <f aca="false">IFERROR(CHOOSE(WEEKDAY(DATE(Настройки!$B$5,Настройки!$B$4,Z$4),2),"Пн","Вт","Ср","Чт","Пт","Сб","Вс"),"")</f>
        <v>Чт</v>
      </c>
      <c r="AA5" s="45" t="str">
        <f aca="false">IFERROR(CHOOSE(WEEKDAY(DATE(Настройки!$B$5,Настройки!$B$4,AA$4),2),"Пн","Вт","Ср","Чт","Пт","Сб","Вс"),"")</f>
        <v>Пт</v>
      </c>
      <c r="AB5" s="45" t="str">
        <f aca="false">IFERROR(CHOOSE(WEEKDAY(DATE(Настройки!$B$5,Настройки!$B$4,AB$4),2),"Пн","Вт","Ср","Чт","Пт","Сб","Вс"),"")</f>
        <v>Сб</v>
      </c>
      <c r="AC5" s="45" t="str">
        <f aca="false">IFERROR(CHOOSE(WEEKDAY(DATE(Настройки!$B$5,Настройки!$B$4,AC$4),2),"Пн","Вт","Ср","Чт","Пт","Сб","Вс"),"")</f>
        <v>Вс</v>
      </c>
      <c r="AD5" s="45" t="str">
        <f aca="false">IFERROR(CHOOSE(WEEKDAY(DATE(Настройки!$B$5,Настройки!$B$4,AD$4),2),"Пн","Вт","Ср","Чт","Пт","Сб","Вс"),"")</f>
        <v>Пн</v>
      </c>
      <c r="AE5" s="45" t="str">
        <f aca="false">IFERROR(CHOOSE(WEEKDAY(DATE(Настройки!$B$5,Настройки!$B$4,AE$4),2),"Пн","Вт","Ср","Чт","Пт","Сб","Вс"),"")</f>
        <v>Вт</v>
      </c>
      <c r="AF5" s="45" t="str">
        <f aca="false">IFERROR(CHOOSE(WEEKDAY(DATE(Настройки!$B$5,Настройки!$B$4,AF$4),2),"Пн","Вт","Ср","Чт","Пт","Сб","Вс"),"")</f>
        <v>Ср</v>
      </c>
      <c r="AG5" s="45" t="str">
        <f aca="false">IFERROR(CHOOSE(WEEKDAY(DATE(Настройки!$B$5,Настройки!$B$4,AG$4),2),"Пн","Вт","Ср","Чт","Пт","Сб","Вс"),"")</f>
        <v>Чт</v>
      </c>
      <c r="AH5" s="45" t="str">
        <f aca="false">IFERROR(CHOOSE(WEEKDAY(DATE(Настройки!$B$5,Настройки!$B$4,AH$4),2),"Пн","Вт","Ср","Чт","Пт","Сб","Вс"),"")</f>
        <v>Пт</v>
      </c>
      <c r="AI5" s="45" t="str">
        <f aca="false">IFERROR(CHOOSE(WEEKDAY(DATE(Настройки!$B$5,Настройки!$B$4,AI$4),2),"Пн","Вт","Ср","Чт","Пт","Сб","Вс"),"")</f>
        <v>Сб</v>
      </c>
      <c r="AJ5" s="44"/>
      <c r="AK5" s="44"/>
      <c r="AL5" s="44"/>
      <c r="AM5" s="44"/>
      <c r="AN5" s="44"/>
    </row>
    <row r="6" customFormat="false" ht="21.75" hidden="false" customHeight="true" outlineLevel="0" collapsed="false">
      <c r="A6" s="46" t="n">
        <v>1</v>
      </c>
      <c r="B6" s="47" t="s">
        <v>68</v>
      </c>
      <c r="C6" s="48" t="str">
        <f aca="false">IFERROR(VLOOKUP(B6,Сотрудники!$B$4:$I$23,2,FALSE()),"")</f>
        <v>Иванов И.И.</v>
      </c>
      <c r="D6" s="48" t="str">
        <f aca="false">IFERROR(VLOOKUP(B6,Сотрудники!$B$4:$I$23,3,FALSE()),"")</f>
        <v>Менеджер по продажам</v>
      </c>
      <c r="E6" s="49" t="s">
        <v>170</v>
      </c>
      <c r="F6" s="49" t="s">
        <v>170</v>
      </c>
      <c r="G6" s="49" t="s">
        <v>170</v>
      </c>
      <c r="H6" s="49" t="s">
        <v>170</v>
      </c>
      <c r="I6" s="49" t="s">
        <v>163</v>
      </c>
      <c r="J6" s="49" t="s">
        <v>163</v>
      </c>
      <c r="K6" s="49" t="s">
        <v>170</v>
      </c>
      <c r="L6" s="49" t="s">
        <v>163</v>
      </c>
      <c r="M6" s="49" t="s">
        <v>163</v>
      </c>
      <c r="N6" s="49" t="s">
        <v>170</v>
      </c>
      <c r="O6" s="49" t="s">
        <v>170</v>
      </c>
      <c r="P6" s="49" t="s">
        <v>163</v>
      </c>
      <c r="Q6" s="49" t="s">
        <v>163</v>
      </c>
      <c r="R6" s="49" t="s">
        <v>163</v>
      </c>
      <c r="S6" s="49" t="s">
        <v>163</v>
      </c>
      <c r="T6" s="49" t="s">
        <v>163</v>
      </c>
      <c r="U6" s="49" t="s">
        <v>170</v>
      </c>
      <c r="V6" s="49" t="s">
        <v>170</v>
      </c>
      <c r="W6" s="49" t="s">
        <v>163</v>
      </c>
      <c r="X6" s="49" t="s">
        <v>163</v>
      </c>
      <c r="Y6" s="49" t="s">
        <v>163</v>
      </c>
      <c r="Z6" s="49" t="s">
        <v>163</v>
      </c>
      <c r="AA6" s="49" t="s">
        <v>163</v>
      </c>
      <c r="AB6" s="49" t="s">
        <v>170</v>
      </c>
      <c r="AC6" s="49" t="s">
        <v>170</v>
      </c>
      <c r="AD6" s="49" t="s">
        <v>163</v>
      </c>
      <c r="AE6" s="49" t="s">
        <v>163</v>
      </c>
      <c r="AF6" s="49" t="s">
        <v>163</v>
      </c>
      <c r="AG6" s="49" t="s">
        <v>163</v>
      </c>
      <c r="AH6" s="49" t="s">
        <v>163</v>
      </c>
      <c r="AI6" s="49" t="s">
        <v>170</v>
      </c>
      <c r="AJ6" s="50" t="n">
        <f aca="false">((COUNTIF(E6:AI6,"Я")+COUNTIF(E6:AI6,"Н")+COUNTIF(E6:AI6,"С")+COUNTIF(E6:AI6,"К")+COUNTIF(E6:AI6,"РВ"))*Настройки!$B$7)+COUNTIF(E6:AI6,"С")*Настройки!$B$9</f>
        <v>152</v>
      </c>
      <c r="AK6" s="50" t="n">
        <f aca="false">COUNTIF(E6:AI6,"Я")+COUNTIF(E6:AI6,"Н")+COUNTIF(E6:AI6,"С")+COUNTIF(E6:AI6,"РВ")+COUNTIF(E6:AI6,"К")</f>
        <v>19</v>
      </c>
      <c r="AL6" s="50" t="n">
        <f aca="false">COUNTIF(E6:AI6,"Б")+COUNTIF(E6:AI6,"ОТ")+COUNTIF(E6:AI6,"ПР")+COUNTIF(E6:AI6,"НН")+COUNTIF(E6:AI6,"ОД")+COUNTIF(E6:AI6,"ОЗ")+COUNTIF(E6:AI6,"У")+COUNTIF(E6:AI6,"Т")+COUNTIF(E6:AI6,"Р")+COUNTIF(E6:AI6,"ОВ")</f>
        <v>0</v>
      </c>
      <c r="AM6" s="50" t="n">
        <f aca="false">COUNTIF(E6:AI6,"С")*Настройки!$B$9</f>
        <v>0</v>
      </c>
      <c r="AN6" s="51" t="n">
        <f aca="false">IFERROR(((COUNTIF(E6:AI6,"Я")+COUNTIF(E6:AI6,"Н")+COUNTIF(E6:AI6,"С")+COUNTIF(E6:AI6,"К"))*Настройки!$B$7+COUNTIF(E6:AI6,"РВ")*Настройки!$B$7*2+COUNTIF(E6:AI6,"С")*Настройки!$B$9*1.5)*VLOOKUP(B6,Сотрудники!$B$4:$I$23,6,FALSE()),0)</f>
        <v>316666.666666667</v>
      </c>
    </row>
    <row r="7" customFormat="false" ht="21.75" hidden="false" customHeight="true" outlineLevel="0" collapsed="false">
      <c r="A7" s="46" t="n">
        <v>2</v>
      </c>
      <c r="B7" s="47" t="s">
        <v>74</v>
      </c>
      <c r="C7" s="48" t="str">
        <f aca="false">IFERROR(VLOOKUP(B7,Сотрудники!$B$4:$I$23,2,FALSE()),"")</f>
        <v>Петров П.П.</v>
      </c>
      <c r="D7" s="48" t="str">
        <f aca="false">IFERROR(VLOOKUP(B7,Сотрудники!$B$4:$I$23,3,FALSE()),"")</f>
        <v>Старший менеджер</v>
      </c>
      <c r="E7" s="49" t="s">
        <v>170</v>
      </c>
      <c r="F7" s="49" t="s">
        <v>170</v>
      </c>
      <c r="G7" s="49" t="s">
        <v>170</v>
      </c>
      <c r="H7" s="49" t="s">
        <v>170</v>
      </c>
      <c r="I7" s="49" t="s">
        <v>163</v>
      </c>
      <c r="J7" s="49" t="s">
        <v>163</v>
      </c>
      <c r="K7" s="49" t="s">
        <v>170</v>
      </c>
      <c r="L7" s="49" t="s">
        <v>163</v>
      </c>
      <c r="M7" s="49" t="s">
        <v>163</v>
      </c>
      <c r="N7" s="49" t="s">
        <v>170</v>
      </c>
      <c r="O7" s="49" t="s">
        <v>170</v>
      </c>
      <c r="P7" s="49" t="s">
        <v>163</v>
      </c>
      <c r="Q7" s="49" t="s">
        <v>163</v>
      </c>
      <c r="R7" s="49" t="s">
        <v>163</v>
      </c>
      <c r="S7" s="49" t="s">
        <v>163</v>
      </c>
      <c r="T7" s="49" t="s">
        <v>163</v>
      </c>
      <c r="U7" s="49" t="s">
        <v>170</v>
      </c>
      <c r="V7" s="49" t="s">
        <v>170</v>
      </c>
      <c r="W7" s="49" t="s">
        <v>163</v>
      </c>
      <c r="X7" s="49" t="s">
        <v>163</v>
      </c>
      <c r="Y7" s="49" t="s">
        <v>163</v>
      </c>
      <c r="Z7" s="49" t="s">
        <v>163</v>
      </c>
      <c r="AA7" s="49" t="s">
        <v>163</v>
      </c>
      <c r="AB7" s="49" t="s">
        <v>170</v>
      </c>
      <c r="AC7" s="49" t="s">
        <v>170</v>
      </c>
      <c r="AD7" s="49" t="s">
        <v>163</v>
      </c>
      <c r="AE7" s="49" t="s">
        <v>163</v>
      </c>
      <c r="AF7" s="49" t="s">
        <v>163</v>
      </c>
      <c r="AG7" s="49" t="s">
        <v>163</v>
      </c>
      <c r="AH7" s="49" t="s">
        <v>163</v>
      </c>
      <c r="AI7" s="49" t="s">
        <v>170</v>
      </c>
      <c r="AJ7" s="50" t="n">
        <f aca="false">((COUNTIF(E7:AI7,"Я")+COUNTIF(E7:AI7,"Н")+COUNTIF(E7:AI7,"С")+COUNTIF(E7:AI7,"К")+COUNTIF(E7:AI7,"РВ"))*Настройки!$B$7)+COUNTIF(E7:AI7,"С")*Настройки!$B$9</f>
        <v>152</v>
      </c>
      <c r="AK7" s="50" t="n">
        <f aca="false">COUNTIF(E7:AI7,"Я")+COUNTIF(E7:AI7,"Н")+COUNTIF(E7:AI7,"С")+COUNTIF(E7:AI7,"РВ")+COUNTIF(E7:AI7,"К")</f>
        <v>19</v>
      </c>
      <c r="AL7" s="50" t="n">
        <f aca="false">COUNTIF(E7:AI7,"Б")+COUNTIF(E7:AI7,"ОТ")+COUNTIF(E7:AI7,"ПР")+COUNTIF(E7:AI7,"НН")+COUNTIF(E7:AI7,"ОД")+COUNTIF(E7:AI7,"ОЗ")+COUNTIF(E7:AI7,"У")+COUNTIF(E7:AI7,"Т")+COUNTIF(E7:AI7,"Р")+COUNTIF(E7:AI7,"ОВ")</f>
        <v>0</v>
      </c>
      <c r="AM7" s="50" t="n">
        <f aca="false">COUNTIF(E7:AI7,"С")*Настройки!$B$9</f>
        <v>0</v>
      </c>
      <c r="AN7" s="51" t="n">
        <f aca="false">IFERROR(((COUNTIF(E7:AI7,"Я")+COUNTIF(E7:AI7,"Н")+COUNTIF(E7:AI7,"С")+COUNTIF(E7:AI7,"К"))*Настройки!$B$7+COUNTIF(E7:AI7,"РВ")*Настройки!$B$7*2+COUNTIF(E7:AI7,"С")*Настройки!$B$9*1.5)*VLOOKUP(B7,Сотрудники!$B$4:$I$23,6,FALSE()),0)</f>
        <v>407142.857142857</v>
      </c>
    </row>
    <row r="8" customFormat="false" ht="21.75" hidden="false" customHeight="true" outlineLevel="0" collapsed="false">
      <c r="A8" s="46" t="n">
        <v>3</v>
      </c>
      <c r="B8" s="47" t="s">
        <v>78</v>
      </c>
      <c r="C8" s="48" t="str">
        <f aca="false">IFERROR(VLOOKUP(B8,Сотрудники!$B$4:$I$23,2,FALSE()),"")</f>
        <v>Сидоров С.С.</v>
      </c>
      <c r="D8" s="48" t="str">
        <f aca="false">IFERROR(VLOOKUP(B8,Сотрудники!$B$4:$I$23,3,FALSE()),"")</f>
        <v>Бухгалтер</v>
      </c>
      <c r="E8" s="49" t="s">
        <v>170</v>
      </c>
      <c r="F8" s="49" t="s">
        <v>170</v>
      </c>
      <c r="G8" s="49" t="s">
        <v>170</v>
      </c>
      <c r="H8" s="49" t="s">
        <v>170</v>
      </c>
      <c r="I8" s="49" t="s">
        <v>163</v>
      </c>
      <c r="J8" s="49" t="s">
        <v>163</v>
      </c>
      <c r="K8" s="49" t="s">
        <v>170</v>
      </c>
      <c r="L8" s="49" t="s">
        <v>163</v>
      </c>
      <c r="M8" s="49" t="s">
        <v>163</v>
      </c>
      <c r="N8" s="49" t="s">
        <v>170</v>
      </c>
      <c r="O8" s="49" t="s">
        <v>170</v>
      </c>
      <c r="P8" s="49" t="s">
        <v>163</v>
      </c>
      <c r="Q8" s="49" t="s">
        <v>163</v>
      </c>
      <c r="R8" s="49" t="s">
        <v>163</v>
      </c>
      <c r="S8" s="49" t="s">
        <v>163</v>
      </c>
      <c r="T8" s="49" t="s">
        <v>163</v>
      </c>
      <c r="U8" s="49" t="s">
        <v>170</v>
      </c>
      <c r="V8" s="49" t="s">
        <v>170</v>
      </c>
      <c r="W8" s="49" t="s">
        <v>163</v>
      </c>
      <c r="X8" s="49" t="s">
        <v>163</v>
      </c>
      <c r="Y8" s="49" t="s">
        <v>163</v>
      </c>
      <c r="Z8" s="49" t="s">
        <v>163</v>
      </c>
      <c r="AA8" s="49" t="s">
        <v>163</v>
      </c>
      <c r="AB8" s="49" t="s">
        <v>170</v>
      </c>
      <c r="AC8" s="49" t="s">
        <v>170</v>
      </c>
      <c r="AD8" s="49" t="s">
        <v>163</v>
      </c>
      <c r="AE8" s="49" t="s">
        <v>163</v>
      </c>
      <c r="AF8" s="49" t="s">
        <v>163</v>
      </c>
      <c r="AG8" s="49" t="s">
        <v>163</v>
      </c>
      <c r="AH8" s="49" t="s">
        <v>163</v>
      </c>
      <c r="AI8" s="49" t="s">
        <v>170</v>
      </c>
      <c r="AJ8" s="50" t="n">
        <f aca="false">((COUNTIF(E8:AI8,"Я")+COUNTIF(E8:AI8,"Н")+COUNTIF(E8:AI8,"С")+COUNTIF(E8:AI8,"К")+COUNTIF(E8:AI8,"РВ"))*Настройки!$B$7)+COUNTIF(E8:AI8,"С")*Настройки!$B$9</f>
        <v>152</v>
      </c>
      <c r="AK8" s="50" t="n">
        <f aca="false">COUNTIF(E8:AI8,"Я")+COUNTIF(E8:AI8,"Н")+COUNTIF(E8:AI8,"С")+COUNTIF(E8:AI8,"РВ")+COUNTIF(E8:AI8,"К")</f>
        <v>19</v>
      </c>
      <c r="AL8" s="50" t="n">
        <f aca="false">COUNTIF(E8:AI8,"Б")+COUNTIF(E8:AI8,"ОТ")+COUNTIF(E8:AI8,"ПР")+COUNTIF(E8:AI8,"НН")+COUNTIF(E8:AI8,"ОД")+COUNTIF(E8:AI8,"ОЗ")+COUNTIF(E8:AI8,"У")+COUNTIF(E8:AI8,"Т")+COUNTIF(E8:AI8,"Р")+COUNTIF(E8:AI8,"ОВ")</f>
        <v>0</v>
      </c>
      <c r="AM8" s="50" t="n">
        <f aca="false">COUNTIF(E8:AI8,"С")*Настройки!$B$9</f>
        <v>0</v>
      </c>
      <c r="AN8" s="51" t="n">
        <f aca="false">IFERROR(((COUNTIF(E8:AI8,"Я")+COUNTIF(E8:AI8,"Н")+COUNTIF(E8:AI8,"С")+COUNTIF(E8:AI8,"К"))*Настройки!$B$7+COUNTIF(E8:AI8,"РВ")*Настройки!$B$7*2+COUNTIF(E8:AI8,"С")*Настройки!$B$9*1.5)*VLOOKUP(B8,Сотрудники!$B$4:$I$23,6,FALSE()),0)</f>
        <v>361904.761904762</v>
      </c>
    </row>
    <row r="9" customFormat="false" ht="21.75" hidden="false" customHeight="true" outlineLevel="0" collapsed="false">
      <c r="A9" s="46" t="n">
        <v>4</v>
      </c>
      <c r="B9" s="47" t="s">
        <v>83</v>
      </c>
      <c r="C9" s="48" t="str">
        <f aca="false">IFERROR(VLOOKUP(B9,Сотрудники!$B$4:$I$23,2,FALSE()),"")</f>
        <v>Ахметова А.К.</v>
      </c>
      <c r="D9" s="48" t="str">
        <f aca="false">IFERROR(VLOOKUP(B9,Сотрудники!$B$4:$I$23,3,FALSE()),"")</f>
        <v>Главный бухгалтер</v>
      </c>
      <c r="E9" s="49" t="s">
        <v>170</v>
      </c>
      <c r="F9" s="49" t="s">
        <v>170</v>
      </c>
      <c r="G9" s="49" t="s">
        <v>170</v>
      </c>
      <c r="H9" s="49" t="s">
        <v>170</v>
      </c>
      <c r="I9" s="49" t="s">
        <v>163</v>
      </c>
      <c r="J9" s="49" t="s">
        <v>163</v>
      </c>
      <c r="K9" s="49" t="s">
        <v>170</v>
      </c>
      <c r="L9" s="49" t="s">
        <v>163</v>
      </c>
      <c r="M9" s="49" t="s">
        <v>163</v>
      </c>
      <c r="N9" s="49" t="s">
        <v>170</v>
      </c>
      <c r="O9" s="49" t="s">
        <v>170</v>
      </c>
      <c r="P9" s="49" t="s">
        <v>163</v>
      </c>
      <c r="Q9" s="49" t="s">
        <v>163</v>
      </c>
      <c r="R9" s="49" t="s">
        <v>163</v>
      </c>
      <c r="S9" s="49" t="s">
        <v>163</v>
      </c>
      <c r="T9" s="49" t="s">
        <v>163</v>
      </c>
      <c r="U9" s="49" t="s">
        <v>170</v>
      </c>
      <c r="V9" s="49" t="s">
        <v>170</v>
      </c>
      <c r="W9" s="49" t="s">
        <v>163</v>
      </c>
      <c r="X9" s="49" t="s">
        <v>163</v>
      </c>
      <c r="Y9" s="49" t="s">
        <v>163</v>
      </c>
      <c r="Z9" s="49" t="s">
        <v>163</v>
      </c>
      <c r="AA9" s="49" t="s">
        <v>163</v>
      </c>
      <c r="AB9" s="49" t="s">
        <v>170</v>
      </c>
      <c r="AC9" s="49" t="s">
        <v>170</v>
      </c>
      <c r="AD9" s="49" t="s">
        <v>163</v>
      </c>
      <c r="AE9" s="49" t="s">
        <v>163</v>
      </c>
      <c r="AF9" s="49" t="s">
        <v>163</v>
      </c>
      <c r="AG9" s="49" t="s">
        <v>163</v>
      </c>
      <c r="AH9" s="49" t="s">
        <v>163</v>
      </c>
      <c r="AI9" s="49" t="s">
        <v>170</v>
      </c>
      <c r="AJ9" s="50" t="n">
        <f aca="false">((COUNTIF(E9:AI9,"Я")+COUNTIF(E9:AI9,"Н")+COUNTIF(E9:AI9,"С")+COUNTIF(E9:AI9,"К")+COUNTIF(E9:AI9,"РВ"))*Настройки!$B$7)+COUNTIF(E9:AI9,"С")*Настройки!$B$9</f>
        <v>152</v>
      </c>
      <c r="AK9" s="50" t="n">
        <f aca="false">COUNTIF(E9:AI9,"Я")+COUNTIF(E9:AI9,"Н")+COUNTIF(E9:AI9,"С")+COUNTIF(E9:AI9,"РВ")+COUNTIF(E9:AI9,"К")</f>
        <v>19</v>
      </c>
      <c r="AL9" s="50" t="n">
        <f aca="false">COUNTIF(E9:AI9,"Б")+COUNTIF(E9:AI9,"ОТ")+COUNTIF(E9:AI9,"ПР")+COUNTIF(E9:AI9,"НН")+COUNTIF(E9:AI9,"ОД")+COUNTIF(E9:AI9,"ОЗ")+COUNTIF(E9:AI9,"У")+COUNTIF(E9:AI9,"Т")+COUNTIF(E9:AI9,"Р")+COUNTIF(E9:AI9,"ОВ")</f>
        <v>0</v>
      </c>
      <c r="AM9" s="50" t="n">
        <f aca="false">COUNTIF(E9:AI9,"С")*Настройки!$B$9</f>
        <v>0</v>
      </c>
      <c r="AN9" s="51" t="n">
        <f aca="false">IFERROR(((COUNTIF(E9:AI9,"Я")+COUNTIF(E9:AI9,"Н")+COUNTIF(E9:AI9,"С")+COUNTIF(E9:AI9,"К"))*Настройки!$B$7+COUNTIF(E9:AI9,"РВ")*Настройки!$B$7*2+COUNTIF(E9:AI9,"С")*Настройки!$B$9*1.5)*VLOOKUP(B9,Сотрудники!$B$4:$I$23,6,FALSE()),0)</f>
        <v>588095.238095238</v>
      </c>
    </row>
    <row r="10" customFormat="false" ht="21.75" hidden="false" customHeight="true" outlineLevel="0" collapsed="false">
      <c r="A10" s="46" t="n">
        <v>5</v>
      </c>
      <c r="B10" s="47" t="s">
        <v>87</v>
      </c>
      <c r="C10" s="48" t="str">
        <f aca="false">IFERROR(VLOOKUP(B10,Сотрудники!$B$4:$I$23,2,FALSE()),"")</f>
        <v>Нурланов Б.Т.</v>
      </c>
      <c r="D10" s="48" t="str">
        <f aca="false">IFERROR(VLOOKUP(B10,Сотрудники!$B$4:$I$23,3,FALSE()),"")</f>
        <v>Маркетолог</v>
      </c>
      <c r="E10" s="49" t="s">
        <v>170</v>
      </c>
      <c r="F10" s="49" t="s">
        <v>170</v>
      </c>
      <c r="G10" s="49" t="s">
        <v>170</v>
      </c>
      <c r="H10" s="49" t="s">
        <v>170</v>
      </c>
      <c r="I10" s="49" t="s">
        <v>163</v>
      </c>
      <c r="J10" s="49" t="s">
        <v>163</v>
      </c>
      <c r="K10" s="49" t="s">
        <v>170</v>
      </c>
      <c r="L10" s="49" t="s">
        <v>163</v>
      </c>
      <c r="M10" s="49" t="s">
        <v>163</v>
      </c>
      <c r="N10" s="49" t="s">
        <v>170</v>
      </c>
      <c r="O10" s="49" t="s">
        <v>170</v>
      </c>
      <c r="P10" s="49" t="s">
        <v>163</v>
      </c>
      <c r="Q10" s="49" t="s">
        <v>163</v>
      </c>
      <c r="R10" s="49" t="s">
        <v>163</v>
      </c>
      <c r="S10" s="49" t="s">
        <v>163</v>
      </c>
      <c r="T10" s="49" t="s">
        <v>163</v>
      </c>
      <c r="U10" s="49" t="s">
        <v>170</v>
      </c>
      <c r="V10" s="49" t="s">
        <v>170</v>
      </c>
      <c r="W10" s="49" t="s">
        <v>163</v>
      </c>
      <c r="X10" s="49" t="s">
        <v>163</v>
      </c>
      <c r="Y10" s="49" t="s">
        <v>163</v>
      </c>
      <c r="Z10" s="49" t="s">
        <v>163</v>
      </c>
      <c r="AA10" s="49" t="s">
        <v>163</v>
      </c>
      <c r="AB10" s="49" t="s">
        <v>170</v>
      </c>
      <c r="AC10" s="49" t="s">
        <v>170</v>
      </c>
      <c r="AD10" s="49" t="s">
        <v>163</v>
      </c>
      <c r="AE10" s="49" t="s">
        <v>163</v>
      </c>
      <c r="AF10" s="49" t="s">
        <v>163</v>
      </c>
      <c r="AG10" s="49" t="s">
        <v>163</v>
      </c>
      <c r="AH10" s="49" t="s">
        <v>163</v>
      </c>
      <c r="AI10" s="49" t="s">
        <v>170</v>
      </c>
      <c r="AJ10" s="50" t="n">
        <f aca="false">((COUNTIF(E10:AI10,"Я")+COUNTIF(E10:AI10,"Н")+COUNTIF(E10:AI10,"С")+COUNTIF(E10:AI10,"К")+COUNTIF(E10:AI10,"РВ"))*Настройки!$B$7)+COUNTIF(E10:AI10,"С")*Настройки!$B$9</f>
        <v>152</v>
      </c>
      <c r="AK10" s="50" t="n">
        <f aca="false">COUNTIF(E10:AI10,"Я")+COUNTIF(E10:AI10,"Н")+COUNTIF(E10:AI10,"С")+COUNTIF(E10:AI10,"РВ")+COUNTIF(E10:AI10,"К")</f>
        <v>19</v>
      </c>
      <c r="AL10" s="50" t="n">
        <f aca="false">COUNTIF(E10:AI10,"Б")+COUNTIF(E10:AI10,"ОТ")+COUNTIF(E10:AI10,"ПР")+COUNTIF(E10:AI10,"НН")+COUNTIF(E10:AI10,"ОД")+COUNTIF(E10:AI10,"ОЗ")+COUNTIF(E10:AI10,"У")+COUNTIF(E10:AI10,"Т")+COUNTIF(E10:AI10,"Р")+COUNTIF(E10:AI10,"ОВ")</f>
        <v>0</v>
      </c>
      <c r="AM10" s="50" t="n">
        <f aca="false">COUNTIF(E10:AI10,"С")*Настройки!$B$9</f>
        <v>0</v>
      </c>
      <c r="AN10" s="51" t="n">
        <f aca="false">IFERROR(((COUNTIF(E10:AI10,"Я")+COUNTIF(E10:AI10,"Н")+COUNTIF(E10:AI10,"С")+COUNTIF(E10:AI10,"К"))*Настройки!$B$7+COUNTIF(E10:AI10,"РВ")*Настройки!$B$7*2+COUNTIF(E10:AI10,"С")*Настройки!$B$9*1.5)*VLOOKUP(B10,Сотрудники!$B$4:$I$23,6,FALSE()),0)</f>
        <v>343809.523809524</v>
      </c>
    </row>
    <row r="11" customFormat="false" ht="21.75" hidden="false" customHeight="true" outlineLevel="0" collapsed="false">
      <c r="A11" s="46" t="n">
        <v>6</v>
      </c>
      <c r="B11" s="47" t="s">
        <v>92</v>
      </c>
      <c r="C11" s="48" t="str">
        <f aca="false">IFERROR(VLOOKUP(B11,Сотрудники!$B$4:$I$23,2,FALSE()),"")</f>
        <v>Жумабекова Г.М.</v>
      </c>
      <c r="D11" s="48" t="str">
        <f aca="false">IFERROR(VLOOKUP(B11,Сотрудники!$B$4:$I$23,3,FALSE()),"")</f>
        <v>Дизайнер</v>
      </c>
      <c r="E11" s="49" t="s">
        <v>170</v>
      </c>
      <c r="F11" s="49" t="s">
        <v>170</v>
      </c>
      <c r="G11" s="49" t="s">
        <v>170</v>
      </c>
      <c r="H11" s="49" t="s">
        <v>170</v>
      </c>
      <c r="I11" s="49" t="s">
        <v>163</v>
      </c>
      <c r="J11" s="49" t="s">
        <v>163</v>
      </c>
      <c r="K11" s="49" t="s">
        <v>170</v>
      </c>
      <c r="L11" s="49" t="s">
        <v>163</v>
      </c>
      <c r="M11" s="49" t="s">
        <v>163</v>
      </c>
      <c r="N11" s="49" t="s">
        <v>170</v>
      </c>
      <c r="O11" s="49" t="s">
        <v>170</v>
      </c>
      <c r="P11" s="49" t="s">
        <v>163</v>
      </c>
      <c r="Q11" s="49" t="s">
        <v>163</v>
      </c>
      <c r="R11" s="49" t="s">
        <v>163</v>
      </c>
      <c r="S11" s="49" t="s">
        <v>163</v>
      </c>
      <c r="T11" s="49" t="s">
        <v>163</v>
      </c>
      <c r="U11" s="49" t="s">
        <v>170</v>
      </c>
      <c r="V11" s="49" t="s">
        <v>170</v>
      </c>
      <c r="W11" s="49" t="s">
        <v>163</v>
      </c>
      <c r="X11" s="49" t="s">
        <v>163</v>
      </c>
      <c r="Y11" s="49" t="s">
        <v>163</v>
      </c>
      <c r="Z11" s="49" t="s">
        <v>163</v>
      </c>
      <c r="AA11" s="49" t="s">
        <v>163</v>
      </c>
      <c r="AB11" s="49" t="s">
        <v>170</v>
      </c>
      <c r="AC11" s="49" t="s">
        <v>170</v>
      </c>
      <c r="AD11" s="49" t="s">
        <v>163</v>
      </c>
      <c r="AE11" s="49" t="s">
        <v>163</v>
      </c>
      <c r="AF11" s="49" t="s">
        <v>163</v>
      </c>
      <c r="AG11" s="49" t="s">
        <v>163</v>
      </c>
      <c r="AH11" s="49" t="s">
        <v>163</v>
      </c>
      <c r="AI11" s="49" t="s">
        <v>170</v>
      </c>
      <c r="AJ11" s="50" t="n">
        <f aca="false">((COUNTIF(E11:AI11,"Я")+COUNTIF(E11:AI11,"Н")+COUNTIF(E11:AI11,"С")+COUNTIF(E11:AI11,"К")+COUNTIF(E11:AI11,"РВ"))*Настройки!$B$7)+COUNTIF(E11:AI11,"С")*Настройки!$B$9</f>
        <v>152</v>
      </c>
      <c r="AK11" s="50" t="n">
        <f aca="false">COUNTIF(E11:AI11,"Я")+COUNTIF(E11:AI11,"Н")+COUNTIF(E11:AI11,"С")+COUNTIF(E11:AI11,"РВ")+COUNTIF(E11:AI11,"К")</f>
        <v>19</v>
      </c>
      <c r="AL11" s="50" t="n">
        <f aca="false">COUNTIF(E11:AI11,"Б")+COUNTIF(E11:AI11,"ОТ")+COUNTIF(E11:AI11,"ПР")+COUNTIF(E11:AI11,"НН")+COUNTIF(E11:AI11,"ОД")+COUNTIF(E11:AI11,"ОЗ")+COUNTIF(E11:AI11,"У")+COUNTIF(E11:AI11,"Т")+COUNTIF(E11:AI11,"Р")+COUNTIF(E11:AI11,"ОВ")</f>
        <v>0</v>
      </c>
      <c r="AM11" s="50" t="n">
        <f aca="false">COUNTIF(E11:AI11,"С")*Настройки!$B$9</f>
        <v>0</v>
      </c>
      <c r="AN11" s="51" t="n">
        <f aca="false">IFERROR(((COUNTIF(E11:AI11,"Я")+COUNTIF(E11:AI11,"Н")+COUNTIF(E11:AI11,"С")+COUNTIF(E11:AI11,"К"))*Настройки!$B$7+COUNTIF(E11:AI11,"РВ")*Настройки!$B$7*2+COUNTIF(E11:AI11,"С")*Настройки!$B$9*1.5)*VLOOKUP(B11,Сотрудники!$B$4:$I$23,6,FALSE()),0)</f>
        <v>316666.666666667</v>
      </c>
    </row>
    <row r="12" customFormat="false" ht="21.75" hidden="false" customHeight="true" outlineLevel="0" collapsed="false">
      <c r="A12" s="46" t="n">
        <v>7</v>
      </c>
      <c r="B12" s="47" t="s">
        <v>96</v>
      </c>
      <c r="C12" s="48" t="str">
        <f aca="false">IFERROR(VLOOKUP(B12,Сотрудники!$B$4:$I$23,2,FALSE()),"")</f>
        <v>Серикбаев Е.А.</v>
      </c>
      <c r="D12" s="48" t="str">
        <f aca="false">IFERROR(VLOOKUP(B12,Сотрудники!$B$4:$I$23,3,FALSE()),"")</f>
        <v>Программист</v>
      </c>
      <c r="E12" s="49" t="s">
        <v>170</v>
      </c>
      <c r="F12" s="49" t="s">
        <v>170</v>
      </c>
      <c r="G12" s="49" t="s">
        <v>170</v>
      </c>
      <c r="H12" s="49" t="s">
        <v>170</v>
      </c>
      <c r="I12" s="49" t="s">
        <v>163</v>
      </c>
      <c r="J12" s="49" t="s">
        <v>163</v>
      </c>
      <c r="K12" s="49" t="s">
        <v>170</v>
      </c>
      <c r="L12" s="49" t="s">
        <v>163</v>
      </c>
      <c r="M12" s="49" t="s">
        <v>163</v>
      </c>
      <c r="N12" s="49" t="s">
        <v>170</v>
      </c>
      <c r="O12" s="49" t="s">
        <v>170</v>
      </c>
      <c r="P12" s="49" t="s">
        <v>163</v>
      </c>
      <c r="Q12" s="49" t="s">
        <v>163</v>
      </c>
      <c r="R12" s="49" t="s">
        <v>163</v>
      </c>
      <c r="S12" s="49" t="s">
        <v>163</v>
      </c>
      <c r="T12" s="49" t="s">
        <v>163</v>
      </c>
      <c r="U12" s="49" t="s">
        <v>170</v>
      </c>
      <c r="V12" s="49" t="s">
        <v>170</v>
      </c>
      <c r="W12" s="49" t="s">
        <v>163</v>
      </c>
      <c r="X12" s="49" t="s">
        <v>163</v>
      </c>
      <c r="Y12" s="49" t="s">
        <v>163</v>
      </c>
      <c r="Z12" s="49" t="s">
        <v>163</v>
      </c>
      <c r="AA12" s="49" t="s">
        <v>163</v>
      </c>
      <c r="AB12" s="49" t="s">
        <v>170</v>
      </c>
      <c r="AC12" s="49" t="s">
        <v>170</v>
      </c>
      <c r="AD12" s="49" t="s">
        <v>163</v>
      </c>
      <c r="AE12" s="49" t="s">
        <v>163</v>
      </c>
      <c r="AF12" s="49" t="s">
        <v>163</v>
      </c>
      <c r="AG12" s="49" t="s">
        <v>163</v>
      </c>
      <c r="AH12" s="49" t="s">
        <v>163</v>
      </c>
      <c r="AI12" s="49" t="s">
        <v>170</v>
      </c>
      <c r="AJ12" s="50" t="n">
        <f aca="false">((COUNTIF(E12:AI12,"Я")+COUNTIF(E12:AI12,"Н")+COUNTIF(E12:AI12,"С")+COUNTIF(E12:AI12,"К")+COUNTIF(E12:AI12,"РВ"))*Настройки!$B$7)+COUNTIF(E12:AI12,"С")*Настройки!$B$9</f>
        <v>152</v>
      </c>
      <c r="AK12" s="50" t="n">
        <f aca="false">COUNTIF(E12:AI12,"Я")+COUNTIF(E12:AI12,"Н")+COUNTIF(E12:AI12,"С")+COUNTIF(E12:AI12,"РВ")+COUNTIF(E12:AI12,"К")</f>
        <v>19</v>
      </c>
      <c r="AL12" s="50" t="n">
        <f aca="false">COUNTIF(E12:AI12,"Б")+COUNTIF(E12:AI12,"ОТ")+COUNTIF(E12:AI12,"ПР")+COUNTIF(E12:AI12,"НН")+COUNTIF(E12:AI12,"ОД")+COUNTIF(E12:AI12,"ОЗ")+COUNTIF(E12:AI12,"У")+COUNTIF(E12:AI12,"Т")+COUNTIF(E12:AI12,"Р")+COUNTIF(E12:AI12,"ОВ")</f>
        <v>0</v>
      </c>
      <c r="AM12" s="50" t="n">
        <f aca="false">COUNTIF(E12:AI12,"С")*Настройки!$B$9</f>
        <v>0</v>
      </c>
      <c r="AN12" s="51" t="n">
        <f aca="false">IFERROR(((COUNTIF(E12:AI12,"Я")+COUNTIF(E12:AI12,"Н")+COUNTIF(E12:AI12,"С")+COUNTIF(E12:AI12,"К"))*Настройки!$B$7+COUNTIF(E12:AI12,"РВ")*Настройки!$B$7*2+COUNTIF(E12:AI12,"С")*Настройки!$B$9*1.5)*VLOOKUP(B12,Сотрудники!$B$4:$I$23,6,FALSE()),0)</f>
        <v>497619.047619048</v>
      </c>
    </row>
    <row r="13" customFormat="false" ht="21.75" hidden="false" customHeight="true" outlineLevel="0" collapsed="false">
      <c r="A13" s="46" t="n">
        <v>8</v>
      </c>
      <c r="B13" s="47" t="s">
        <v>101</v>
      </c>
      <c r="C13" s="48" t="str">
        <f aca="false">IFERROR(VLOOKUP(B13,Сотрудники!$B$4:$I$23,2,FALSE()),"")</f>
        <v>Касымов Д.Н.</v>
      </c>
      <c r="D13" s="48" t="str">
        <f aca="false">IFERROR(VLOOKUP(B13,Сотрудники!$B$4:$I$23,3,FALSE()),"")</f>
        <v>Системный администратор</v>
      </c>
      <c r="E13" s="49" t="s">
        <v>170</v>
      </c>
      <c r="F13" s="49" t="s">
        <v>170</v>
      </c>
      <c r="G13" s="49" t="s">
        <v>170</v>
      </c>
      <c r="H13" s="49" t="s">
        <v>170</v>
      </c>
      <c r="I13" s="49" t="s">
        <v>163</v>
      </c>
      <c r="J13" s="49" t="s">
        <v>163</v>
      </c>
      <c r="K13" s="49" t="s">
        <v>170</v>
      </c>
      <c r="L13" s="49" t="s">
        <v>163</v>
      </c>
      <c r="M13" s="49" t="s">
        <v>163</v>
      </c>
      <c r="N13" s="49" t="s">
        <v>170</v>
      </c>
      <c r="O13" s="49" t="s">
        <v>170</v>
      </c>
      <c r="P13" s="49" t="s">
        <v>163</v>
      </c>
      <c r="Q13" s="49" t="s">
        <v>163</v>
      </c>
      <c r="R13" s="49" t="s">
        <v>163</v>
      </c>
      <c r="S13" s="49" t="s">
        <v>163</v>
      </c>
      <c r="T13" s="49" t="s">
        <v>163</v>
      </c>
      <c r="U13" s="49" t="s">
        <v>170</v>
      </c>
      <c r="V13" s="49" t="s">
        <v>170</v>
      </c>
      <c r="W13" s="49" t="s">
        <v>163</v>
      </c>
      <c r="X13" s="49" t="s">
        <v>163</v>
      </c>
      <c r="Y13" s="49" t="s">
        <v>163</v>
      </c>
      <c r="Z13" s="49" t="s">
        <v>163</v>
      </c>
      <c r="AA13" s="49" t="s">
        <v>163</v>
      </c>
      <c r="AB13" s="49" t="s">
        <v>170</v>
      </c>
      <c r="AC13" s="49" t="s">
        <v>170</v>
      </c>
      <c r="AD13" s="49" t="s">
        <v>163</v>
      </c>
      <c r="AE13" s="49" t="s">
        <v>163</v>
      </c>
      <c r="AF13" s="49" t="s">
        <v>163</v>
      </c>
      <c r="AG13" s="49" t="s">
        <v>163</v>
      </c>
      <c r="AH13" s="49" t="s">
        <v>163</v>
      </c>
      <c r="AI13" s="49" t="s">
        <v>170</v>
      </c>
      <c r="AJ13" s="50" t="n">
        <f aca="false">((COUNTIF(E13:AI13,"Я")+COUNTIF(E13:AI13,"Н")+COUNTIF(E13:AI13,"С")+COUNTIF(E13:AI13,"К")+COUNTIF(E13:AI13,"РВ"))*Настройки!$B$7)+COUNTIF(E13:AI13,"С")*Настройки!$B$9</f>
        <v>152</v>
      </c>
      <c r="AK13" s="50" t="n">
        <f aca="false">COUNTIF(E13:AI13,"Я")+COUNTIF(E13:AI13,"Н")+COUNTIF(E13:AI13,"С")+COUNTIF(E13:AI13,"РВ")+COUNTIF(E13:AI13,"К")</f>
        <v>19</v>
      </c>
      <c r="AL13" s="50" t="n">
        <f aca="false">COUNTIF(E13:AI13,"Б")+COUNTIF(E13:AI13,"ОТ")+COUNTIF(E13:AI13,"ПР")+COUNTIF(E13:AI13,"НН")+COUNTIF(E13:AI13,"ОД")+COUNTIF(E13:AI13,"ОЗ")+COUNTIF(E13:AI13,"У")+COUNTIF(E13:AI13,"Т")+COUNTIF(E13:AI13,"Р")+COUNTIF(E13:AI13,"ОВ")</f>
        <v>0</v>
      </c>
      <c r="AM13" s="50" t="n">
        <f aca="false">COUNTIF(E13:AI13,"С")*Настройки!$B$9</f>
        <v>0</v>
      </c>
      <c r="AN13" s="51" t="n">
        <f aca="false">IFERROR(((COUNTIF(E13:AI13,"Я")+COUNTIF(E13:AI13,"Н")+COUNTIF(E13:AI13,"С")+COUNTIF(E13:AI13,"К"))*Настройки!$B$7+COUNTIF(E13:AI13,"РВ")*Настройки!$B$7*2+COUNTIF(E13:AI13,"С")*Настройки!$B$9*1.5)*VLOOKUP(B13,Сотрудники!$B$4:$I$23,6,FALSE()),0)</f>
        <v>407142.857142857</v>
      </c>
    </row>
    <row r="14" customFormat="false" ht="21.75" hidden="false" customHeight="true" outlineLevel="0" collapsed="false">
      <c r="A14" s="46" t="n">
        <v>9</v>
      </c>
      <c r="B14" s="47" t="s">
        <v>105</v>
      </c>
      <c r="C14" s="48" t="str">
        <f aca="false">IFERROR(VLOOKUP(B14,Сотрудники!$B$4:$I$23,2,FALSE()),"")</f>
        <v>Алиева Ж.С.</v>
      </c>
      <c r="D14" s="48" t="str">
        <f aca="false">IFERROR(VLOOKUP(B14,Сотрудники!$B$4:$I$23,3,FALSE()),"")</f>
        <v>HR-менеджер</v>
      </c>
      <c r="E14" s="49" t="s">
        <v>170</v>
      </c>
      <c r="F14" s="49" t="s">
        <v>170</v>
      </c>
      <c r="G14" s="49" t="s">
        <v>170</v>
      </c>
      <c r="H14" s="49" t="s">
        <v>170</v>
      </c>
      <c r="I14" s="49" t="s">
        <v>163</v>
      </c>
      <c r="J14" s="49" t="s">
        <v>163</v>
      </c>
      <c r="K14" s="49" t="s">
        <v>170</v>
      </c>
      <c r="L14" s="49" t="s">
        <v>163</v>
      </c>
      <c r="M14" s="49" t="s">
        <v>163</v>
      </c>
      <c r="N14" s="49" t="s">
        <v>170</v>
      </c>
      <c r="O14" s="49" t="s">
        <v>170</v>
      </c>
      <c r="P14" s="49" t="s">
        <v>163</v>
      </c>
      <c r="Q14" s="49" t="s">
        <v>163</v>
      </c>
      <c r="R14" s="49" t="s">
        <v>163</v>
      </c>
      <c r="S14" s="49" t="s">
        <v>163</v>
      </c>
      <c r="T14" s="49" t="s">
        <v>163</v>
      </c>
      <c r="U14" s="49" t="s">
        <v>170</v>
      </c>
      <c r="V14" s="49" t="s">
        <v>170</v>
      </c>
      <c r="W14" s="49" t="s">
        <v>163</v>
      </c>
      <c r="X14" s="49" t="s">
        <v>163</v>
      </c>
      <c r="Y14" s="49" t="s">
        <v>163</v>
      </c>
      <c r="Z14" s="49" t="s">
        <v>163</v>
      </c>
      <c r="AA14" s="49" t="s">
        <v>163</v>
      </c>
      <c r="AB14" s="49" t="s">
        <v>170</v>
      </c>
      <c r="AC14" s="49" t="s">
        <v>170</v>
      </c>
      <c r="AD14" s="49" t="s">
        <v>163</v>
      </c>
      <c r="AE14" s="49" t="s">
        <v>163</v>
      </c>
      <c r="AF14" s="49" t="s">
        <v>163</v>
      </c>
      <c r="AG14" s="49" t="s">
        <v>163</v>
      </c>
      <c r="AH14" s="49" t="s">
        <v>163</v>
      </c>
      <c r="AI14" s="49" t="s">
        <v>170</v>
      </c>
      <c r="AJ14" s="50" t="n">
        <f aca="false">((COUNTIF(E14:AI14,"Я")+COUNTIF(E14:AI14,"Н")+COUNTIF(E14:AI14,"С")+COUNTIF(E14:AI14,"К")+COUNTIF(E14:AI14,"РВ"))*Настройки!$B$7)+COUNTIF(E14:AI14,"С")*Настройки!$B$9</f>
        <v>152</v>
      </c>
      <c r="AK14" s="50" t="n">
        <f aca="false">COUNTIF(E14:AI14,"Я")+COUNTIF(E14:AI14,"Н")+COUNTIF(E14:AI14,"С")+COUNTIF(E14:AI14,"РВ")+COUNTIF(E14:AI14,"К")</f>
        <v>19</v>
      </c>
      <c r="AL14" s="50" t="n">
        <f aca="false">COUNTIF(E14:AI14,"Б")+COUNTIF(E14:AI14,"ОТ")+COUNTIF(E14:AI14,"ПР")+COUNTIF(E14:AI14,"НН")+COUNTIF(E14:AI14,"ОД")+COUNTIF(E14:AI14,"ОЗ")+COUNTIF(E14:AI14,"У")+COUNTIF(E14:AI14,"Т")+COUNTIF(E14:AI14,"Р")+COUNTIF(E14:AI14,"ОВ")</f>
        <v>0</v>
      </c>
      <c r="AM14" s="50" t="n">
        <f aca="false">COUNTIF(E14:AI14,"С")*Настройки!$B$9</f>
        <v>0</v>
      </c>
      <c r="AN14" s="51" t="n">
        <f aca="false">IFERROR(((COUNTIF(E14:AI14,"Я")+COUNTIF(E14:AI14,"Н")+COUNTIF(E14:AI14,"С")+COUNTIF(E14:AI14,"К"))*Настройки!$B$7+COUNTIF(E14:AI14,"РВ")*Настройки!$B$7*2+COUNTIF(E14:AI14,"С")*Настройки!$B$9*1.5)*VLOOKUP(B14,Сотрудники!$B$4:$I$23,6,FALSE()),0)</f>
        <v>361904.761904762</v>
      </c>
    </row>
    <row r="15" customFormat="false" ht="21.75" hidden="false" customHeight="true" outlineLevel="0" collapsed="false">
      <c r="A15" s="46" t="n">
        <v>10</v>
      </c>
      <c r="B15" s="47" t="s">
        <v>110</v>
      </c>
      <c r="C15" s="48" t="str">
        <f aca="false">IFERROR(VLOOKUP(B15,Сотрудники!$B$4:$I$23,2,FALSE()),"")</f>
        <v>Бекжанов М.К.</v>
      </c>
      <c r="D15" s="48" t="str">
        <f aca="false">IFERROR(VLOOKUP(B15,Сотрудники!$B$4:$I$23,3,FALSE()),"")</f>
        <v>Руководитель отдела</v>
      </c>
      <c r="E15" s="49" t="s">
        <v>170</v>
      </c>
      <c r="F15" s="49" t="s">
        <v>170</v>
      </c>
      <c r="G15" s="49" t="s">
        <v>170</v>
      </c>
      <c r="H15" s="49" t="s">
        <v>170</v>
      </c>
      <c r="I15" s="49" t="s">
        <v>163</v>
      </c>
      <c r="J15" s="49" t="s">
        <v>163</v>
      </c>
      <c r="K15" s="49" t="s">
        <v>170</v>
      </c>
      <c r="L15" s="49" t="s">
        <v>163</v>
      </c>
      <c r="M15" s="49" t="s">
        <v>163</v>
      </c>
      <c r="N15" s="49" t="s">
        <v>170</v>
      </c>
      <c r="O15" s="49" t="s">
        <v>170</v>
      </c>
      <c r="P15" s="49" t="s">
        <v>163</v>
      </c>
      <c r="Q15" s="49" t="s">
        <v>163</v>
      </c>
      <c r="R15" s="49" t="s">
        <v>163</v>
      </c>
      <c r="S15" s="49" t="s">
        <v>163</v>
      </c>
      <c r="T15" s="49" t="s">
        <v>163</v>
      </c>
      <c r="U15" s="49" t="s">
        <v>170</v>
      </c>
      <c r="V15" s="49" t="s">
        <v>170</v>
      </c>
      <c r="W15" s="49" t="s">
        <v>163</v>
      </c>
      <c r="X15" s="49" t="s">
        <v>163</v>
      </c>
      <c r="Y15" s="49" t="s">
        <v>163</v>
      </c>
      <c r="Z15" s="49" t="s">
        <v>163</v>
      </c>
      <c r="AA15" s="49" t="s">
        <v>163</v>
      </c>
      <c r="AB15" s="49" t="s">
        <v>170</v>
      </c>
      <c r="AC15" s="49" t="s">
        <v>170</v>
      </c>
      <c r="AD15" s="49" t="s">
        <v>163</v>
      </c>
      <c r="AE15" s="49" t="s">
        <v>163</v>
      </c>
      <c r="AF15" s="49" t="s">
        <v>163</v>
      </c>
      <c r="AG15" s="49" t="s">
        <v>163</v>
      </c>
      <c r="AH15" s="49" t="s">
        <v>163</v>
      </c>
      <c r="AI15" s="49" t="s">
        <v>170</v>
      </c>
      <c r="AJ15" s="50" t="n">
        <f aca="false">((COUNTIF(E15:AI15,"Я")+COUNTIF(E15:AI15,"Н")+COUNTIF(E15:AI15,"С")+COUNTIF(E15:AI15,"К")+COUNTIF(E15:AI15,"РВ"))*Настройки!$B$7)+COUNTIF(E15:AI15,"С")*Настройки!$B$9</f>
        <v>152</v>
      </c>
      <c r="AK15" s="50" t="n">
        <f aca="false">COUNTIF(E15:AI15,"Я")+COUNTIF(E15:AI15,"Н")+COUNTIF(E15:AI15,"С")+COUNTIF(E15:AI15,"РВ")+COUNTIF(E15:AI15,"К")</f>
        <v>19</v>
      </c>
      <c r="AL15" s="50" t="n">
        <f aca="false">COUNTIF(E15:AI15,"Б")+COUNTIF(E15:AI15,"ОТ")+COUNTIF(E15:AI15,"ПР")+COUNTIF(E15:AI15,"НН")+COUNTIF(E15:AI15,"ОД")+COUNTIF(E15:AI15,"ОЗ")+COUNTIF(E15:AI15,"У")+COUNTIF(E15:AI15,"Т")+COUNTIF(E15:AI15,"Р")+COUNTIF(E15:AI15,"ОВ")</f>
        <v>0</v>
      </c>
      <c r="AM15" s="50" t="n">
        <f aca="false">COUNTIF(E15:AI15,"С")*Настройки!$B$9</f>
        <v>0</v>
      </c>
      <c r="AN15" s="51" t="n">
        <f aca="false">IFERROR(((COUNTIF(E15:AI15,"Я")+COUNTIF(E15:AI15,"Н")+COUNTIF(E15:AI15,"С")+COUNTIF(E15:AI15,"К"))*Настройки!$B$7+COUNTIF(E15:AI15,"РВ")*Настройки!$B$7*2+COUNTIF(E15:AI15,"С")*Настройки!$B$9*1.5)*VLOOKUP(B15,Сотрудники!$B$4:$I$23,6,FALSE()),0)</f>
        <v>633333.333333333</v>
      </c>
    </row>
    <row r="16" customFormat="false" ht="21.75" hidden="false" customHeight="true" outlineLevel="0" collapsed="false">
      <c r="A16" s="46" t="n">
        <v>11</v>
      </c>
      <c r="B16" s="47" t="s">
        <v>114</v>
      </c>
      <c r="C16" s="48" t="str">
        <f aca="false">IFERROR(VLOOKUP(B16,Сотрудники!$B$4:$I$23,2,FALSE()),"")</f>
        <v>Турсынова А.Б.</v>
      </c>
      <c r="D16" s="48" t="str">
        <f aca="false">IFERROR(VLOOKUP(B16,Сотрудники!$B$4:$I$23,3,FALSE()),"")</f>
        <v>Офис-менеджер</v>
      </c>
      <c r="E16" s="49" t="s">
        <v>170</v>
      </c>
      <c r="F16" s="49" t="s">
        <v>170</v>
      </c>
      <c r="G16" s="49" t="s">
        <v>170</v>
      </c>
      <c r="H16" s="49" t="s">
        <v>170</v>
      </c>
      <c r="I16" s="49" t="s">
        <v>163</v>
      </c>
      <c r="J16" s="49" t="s">
        <v>163</v>
      </c>
      <c r="K16" s="49" t="s">
        <v>170</v>
      </c>
      <c r="L16" s="49" t="s">
        <v>163</v>
      </c>
      <c r="M16" s="49" t="s">
        <v>163</v>
      </c>
      <c r="N16" s="49" t="s">
        <v>170</v>
      </c>
      <c r="O16" s="49" t="s">
        <v>170</v>
      </c>
      <c r="P16" s="49" t="s">
        <v>163</v>
      </c>
      <c r="Q16" s="49" t="s">
        <v>163</v>
      </c>
      <c r="R16" s="49" t="s">
        <v>163</v>
      </c>
      <c r="S16" s="49" t="s">
        <v>163</v>
      </c>
      <c r="T16" s="49" t="s">
        <v>163</v>
      </c>
      <c r="U16" s="49" t="s">
        <v>170</v>
      </c>
      <c r="V16" s="49" t="s">
        <v>170</v>
      </c>
      <c r="W16" s="49" t="s">
        <v>163</v>
      </c>
      <c r="X16" s="49" t="s">
        <v>163</v>
      </c>
      <c r="Y16" s="49" t="s">
        <v>163</v>
      </c>
      <c r="Z16" s="49" t="s">
        <v>163</v>
      </c>
      <c r="AA16" s="49" t="s">
        <v>163</v>
      </c>
      <c r="AB16" s="49" t="s">
        <v>170</v>
      </c>
      <c r="AC16" s="49" t="s">
        <v>170</v>
      </c>
      <c r="AD16" s="49" t="s">
        <v>163</v>
      </c>
      <c r="AE16" s="49" t="s">
        <v>163</v>
      </c>
      <c r="AF16" s="49" t="s">
        <v>163</v>
      </c>
      <c r="AG16" s="49" t="s">
        <v>163</v>
      </c>
      <c r="AH16" s="49" t="s">
        <v>163</v>
      </c>
      <c r="AI16" s="49" t="s">
        <v>170</v>
      </c>
      <c r="AJ16" s="50" t="n">
        <f aca="false">((COUNTIF(E16:AI16,"Я")+COUNTIF(E16:AI16,"Н")+COUNTIF(E16:AI16,"С")+COUNTIF(E16:AI16,"К")+COUNTIF(E16:AI16,"РВ"))*Настройки!$B$7)+COUNTIF(E16:AI16,"С")*Настройки!$B$9</f>
        <v>152</v>
      </c>
      <c r="AK16" s="50" t="n">
        <f aca="false">COUNTIF(E16:AI16,"Я")+COUNTIF(E16:AI16,"Н")+COUNTIF(E16:AI16,"С")+COUNTIF(E16:AI16,"РВ")+COUNTIF(E16:AI16,"К")</f>
        <v>19</v>
      </c>
      <c r="AL16" s="50" t="n">
        <f aca="false">COUNTIF(E16:AI16,"Б")+COUNTIF(E16:AI16,"ОТ")+COUNTIF(E16:AI16,"ПР")+COUNTIF(E16:AI16,"НН")+COUNTIF(E16:AI16,"ОД")+COUNTIF(E16:AI16,"ОЗ")+COUNTIF(E16:AI16,"У")+COUNTIF(E16:AI16,"Т")+COUNTIF(E16:AI16,"Р")+COUNTIF(E16:AI16,"ОВ")</f>
        <v>0</v>
      </c>
      <c r="AM16" s="50" t="n">
        <f aca="false">COUNTIF(E16:AI16,"С")*Настройки!$B$9</f>
        <v>0</v>
      </c>
      <c r="AN16" s="51" t="n">
        <f aca="false">IFERROR(((COUNTIF(E16:AI16,"Я")+COUNTIF(E16:AI16,"Н")+COUNTIF(E16:AI16,"С")+COUNTIF(E16:AI16,"К"))*Настройки!$B$7+COUNTIF(E16:AI16,"РВ")*Настройки!$B$7*2+COUNTIF(E16:AI16,"С")*Настройки!$B$9*1.5)*VLOOKUP(B16,Сотрудники!$B$4:$I$23,6,FALSE()),0)</f>
        <v>271428.571428571</v>
      </c>
    </row>
    <row r="17" customFormat="false" ht="21.75" hidden="false" customHeight="true" outlineLevel="0" collapsed="false">
      <c r="A17" s="46" t="n">
        <v>12</v>
      </c>
      <c r="B17" s="47" t="s">
        <v>119</v>
      </c>
      <c r="C17" s="48" t="str">
        <f aca="false">IFERROR(VLOOKUP(B17,Сотрудники!$B$4:$I$23,2,FALSE()),"")</f>
        <v>Оспанов Т.Е.</v>
      </c>
      <c r="D17" s="48" t="str">
        <f aca="false">IFERROR(VLOOKUP(B17,Сотрудники!$B$4:$I$23,3,FALSE()),"")</f>
        <v>Кладовщик</v>
      </c>
      <c r="E17" s="49" t="s">
        <v>170</v>
      </c>
      <c r="F17" s="49" t="s">
        <v>170</v>
      </c>
      <c r="G17" s="49" t="s">
        <v>170</v>
      </c>
      <c r="H17" s="49" t="s">
        <v>170</v>
      </c>
      <c r="I17" s="49" t="s">
        <v>163</v>
      </c>
      <c r="J17" s="49" t="s">
        <v>163</v>
      </c>
      <c r="K17" s="49" t="s">
        <v>170</v>
      </c>
      <c r="L17" s="49" t="s">
        <v>163</v>
      </c>
      <c r="M17" s="49" t="s">
        <v>163</v>
      </c>
      <c r="N17" s="49" t="s">
        <v>170</v>
      </c>
      <c r="O17" s="49" t="s">
        <v>170</v>
      </c>
      <c r="P17" s="49" t="s">
        <v>163</v>
      </c>
      <c r="Q17" s="49" t="s">
        <v>163</v>
      </c>
      <c r="R17" s="49" t="s">
        <v>163</v>
      </c>
      <c r="S17" s="49" t="s">
        <v>163</v>
      </c>
      <c r="T17" s="49" t="s">
        <v>163</v>
      </c>
      <c r="U17" s="49" t="s">
        <v>170</v>
      </c>
      <c r="V17" s="49" t="s">
        <v>170</v>
      </c>
      <c r="W17" s="49" t="s">
        <v>163</v>
      </c>
      <c r="X17" s="49" t="s">
        <v>163</v>
      </c>
      <c r="Y17" s="49" t="s">
        <v>163</v>
      </c>
      <c r="Z17" s="49" t="s">
        <v>163</v>
      </c>
      <c r="AA17" s="49" t="s">
        <v>163</v>
      </c>
      <c r="AB17" s="49" t="s">
        <v>170</v>
      </c>
      <c r="AC17" s="49" t="s">
        <v>170</v>
      </c>
      <c r="AD17" s="49" t="s">
        <v>163</v>
      </c>
      <c r="AE17" s="49" t="s">
        <v>163</v>
      </c>
      <c r="AF17" s="49" t="s">
        <v>163</v>
      </c>
      <c r="AG17" s="49" t="s">
        <v>163</v>
      </c>
      <c r="AH17" s="49" t="s">
        <v>163</v>
      </c>
      <c r="AI17" s="49" t="s">
        <v>170</v>
      </c>
      <c r="AJ17" s="50" t="n">
        <f aca="false">((COUNTIF(E17:AI17,"Я")+COUNTIF(E17:AI17,"Н")+COUNTIF(E17:AI17,"С")+COUNTIF(E17:AI17,"К")+COUNTIF(E17:AI17,"РВ"))*Настройки!$B$7)+COUNTIF(E17:AI17,"С")*Настройки!$B$9</f>
        <v>152</v>
      </c>
      <c r="AK17" s="50" t="n">
        <f aca="false">COUNTIF(E17:AI17,"Я")+COUNTIF(E17:AI17,"Н")+COUNTIF(E17:AI17,"С")+COUNTIF(E17:AI17,"РВ")+COUNTIF(E17:AI17,"К")</f>
        <v>19</v>
      </c>
      <c r="AL17" s="50" t="n">
        <f aca="false">COUNTIF(E17:AI17,"Б")+COUNTIF(E17:AI17,"ОТ")+COUNTIF(E17:AI17,"ПР")+COUNTIF(E17:AI17,"НН")+COUNTIF(E17:AI17,"ОД")+COUNTIF(E17:AI17,"ОЗ")+COUNTIF(E17:AI17,"У")+COUNTIF(E17:AI17,"Т")+COUNTIF(E17:AI17,"Р")+COUNTIF(E17:AI17,"ОВ")</f>
        <v>0</v>
      </c>
      <c r="AM17" s="50" t="n">
        <f aca="false">COUNTIF(E17:AI17,"С")*Настройки!$B$9</f>
        <v>0</v>
      </c>
      <c r="AN17" s="51" t="n">
        <f aca="false">IFERROR(((COUNTIF(E17:AI17,"Я")+COUNTIF(E17:AI17,"Н")+COUNTIF(E17:AI17,"С")+COUNTIF(E17:AI17,"К"))*Настройки!$B$7+COUNTIF(E17:AI17,"РВ")*Настройки!$B$7*2+COUNTIF(E17:AI17,"С")*Настройки!$B$9*1.5)*VLOOKUP(B17,Сотрудники!$B$4:$I$23,6,FALSE()),0)</f>
        <v>253333.333333333</v>
      </c>
    </row>
    <row r="18" customFormat="false" ht="21.75" hidden="false" customHeight="true" outlineLevel="0" collapsed="false">
      <c r="A18" s="46" t="n">
        <v>13</v>
      </c>
      <c r="B18" s="47" t="s">
        <v>124</v>
      </c>
      <c r="C18" s="48" t="str">
        <f aca="false">IFERROR(VLOOKUP(B18,Сотрудники!$B$4:$I$23,2,FALSE()),"")</f>
        <v>Мухамедова Н.Р.</v>
      </c>
      <c r="D18" s="48" t="str">
        <f aca="false">IFERROR(VLOOKUP(B18,Сотрудники!$B$4:$I$23,3,FALSE()),"")</f>
        <v>Аналитик</v>
      </c>
      <c r="E18" s="49" t="s">
        <v>170</v>
      </c>
      <c r="F18" s="49" t="s">
        <v>170</v>
      </c>
      <c r="G18" s="49" t="s">
        <v>170</v>
      </c>
      <c r="H18" s="49" t="s">
        <v>170</v>
      </c>
      <c r="I18" s="49" t="s">
        <v>163</v>
      </c>
      <c r="J18" s="49" t="s">
        <v>163</v>
      </c>
      <c r="K18" s="49" t="s">
        <v>170</v>
      </c>
      <c r="L18" s="49" t="s">
        <v>163</v>
      </c>
      <c r="M18" s="49" t="s">
        <v>163</v>
      </c>
      <c r="N18" s="49" t="s">
        <v>170</v>
      </c>
      <c r="O18" s="49" t="s">
        <v>170</v>
      </c>
      <c r="P18" s="49" t="s">
        <v>163</v>
      </c>
      <c r="Q18" s="49" t="s">
        <v>163</v>
      </c>
      <c r="R18" s="49" t="s">
        <v>163</v>
      </c>
      <c r="S18" s="49" t="s">
        <v>163</v>
      </c>
      <c r="T18" s="49" t="s">
        <v>163</v>
      </c>
      <c r="U18" s="49" t="s">
        <v>170</v>
      </c>
      <c r="V18" s="49" t="s">
        <v>170</v>
      </c>
      <c r="W18" s="49" t="s">
        <v>163</v>
      </c>
      <c r="X18" s="49" t="s">
        <v>163</v>
      </c>
      <c r="Y18" s="49" t="s">
        <v>163</v>
      </c>
      <c r="Z18" s="49" t="s">
        <v>163</v>
      </c>
      <c r="AA18" s="49" t="s">
        <v>163</v>
      </c>
      <c r="AB18" s="49" t="s">
        <v>170</v>
      </c>
      <c r="AC18" s="49" t="s">
        <v>170</v>
      </c>
      <c r="AD18" s="49" t="s">
        <v>163</v>
      </c>
      <c r="AE18" s="49" t="s">
        <v>163</v>
      </c>
      <c r="AF18" s="49" t="s">
        <v>163</v>
      </c>
      <c r="AG18" s="49" t="s">
        <v>163</v>
      </c>
      <c r="AH18" s="49" t="s">
        <v>163</v>
      </c>
      <c r="AI18" s="49" t="s">
        <v>170</v>
      </c>
      <c r="AJ18" s="50" t="n">
        <f aca="false">((COUNTIF(E18:AI18,"Я")+COUNTIF(E18:AI18,"Н")+COUNTIF(E18:AI18,"С")+COUNTIF(E18:AI18,"К")+COUNTIF(E18:AI18,"РВ"))*Настройки!$B$7)+COUNTIF(E18:AI18,"С")*Настройки!$B$9</f>
        <v>152</v>
      </c>
      <c r="AK18" s="50" t="n">
        <f aca="false">COUNTIF(E18:AI18,"Я")+COUNTIF(E18:AI18,"Н")+COUNTIF(E18:AI18,"С")+COUNTIF(E18:AI18,"РВ")+COUNTIF(E18:AI18,"К")</f>
        <v>19</v>
      </c>
      <c r="AL18" s="50" t="n">
        <f aca="false">COUNTIF(E18:AI18,"Б")+COUNTIF(E18:AI18,"ОТ")+COUNTIF(E18:AI18,"ПР")+COUNTIF(E18:AI18,"НН")+COUNTIF(E18:AI18,"ОД")+COUNTIF(E18:AI18,"ОЗ")+COUNTIF(E18:AI18,"У")+COUNTIF(E18:AI18,"Т")+COUNTIF(E18:AI18,"Р")+COUNTIF(E18:AI18,"ОВ")</f>
        <v>0</v>
      </c>
      <c r="AM18" s="50" t="n">
        <f aca="false">COUNTIF(E18:AI18,"С")*Настройки!$B$9</f>
        <v>0</v>
      </c>
      <c r="AN18" s="51" t="n">
        <f aca="false">IFERROR(((COUNTIF(E18:AI18,"Я")+COUNTIF(E18:AI18,"Н")+COUNTIF(E18:AI18,"С")+COUNTIF(E18:AI18,"К"))*Настройки!$B$7+COUNTIF(E18:AI18,"РВ")*Настройки!$B$7*2+COUNTIF(E18:AI18,"С")*Настройки!$B$9*1.5)*VLOOKUP(B18,Сотрудники!$B$4:$I$23,6,FALSE()),0)</f>
        <v>434285.714285714</v>
      </c>
    </row>
    <row r="19" customFormat="false" ht="21.75" hidden="false" customHeight="true" outlineLevel="0" collapsed="false">
      <c r="A19" s="46" t="n">
        <v>14</v>
      </c>
      <c r="B19" s="47" t="s">
        <v>128</v>
      </c>
      <c r="C19" s="48" t="str">
        <f aca="false">IFERROR(VLOOKUP(B19,Сотрудники!$B$4:$I$23,2,FALSE()),"")</f>
        <v>Шарипов К.А.</v>
      </c>
      <c r="D19" s="48" t="str">
        <f aca="false">IFERROR(VLOOKUP(B19,Сотрудники!$B$4:$I$23,3,FALSE()),"")</f>
        <v>Юрист</v>
      </c>
      <c r="E19" s="49" t="s">
        <v>170</v>
      </c>
      <c r="F19" s="49" t="s">
        <v>170</v>
      </c>
      <c r="G19" s="49" t="s">
        <v>170</v>
      </c>
      <c r="H19" s="49" t="s">
        <v>170</v>
      </c>
      <c r="I19" s="49" t="s">
        <v>163</v>
      </c>
      <c r="J19" s="49" t="s">
        <v>163</v>
      </c>
      <c r="K19" s="49" t="s">
        <v>170</v>
      </c>
      <c r="L19" s="49" t="s">
        <v>163</v>
      </c>
      <c r="M19" s="49" t="s">
        <v>163</v>
      </c>
      <c r="N19" s="49" t="s">
        <v>170</v>
      </c>
      <c r="O19" s="49" t="s">
        <v>170</v>
      </c>
      <c r="P19" s="49" t="s">
        <v>163</v>
      </c>
      <c r="Q19" s="49" t="s">
        <v>163</v>
      </c>
      <c r="R19" s="49" t="s">
        <v>163</v>
      </c>
      <c r="S19" s="49" t="s">
        <v>163</v>
      </c>
      <c r="T19" s="49" t="s">
        <v>163</v>
      </c>
      <c r="U19" s="49" t="s">
        <v>170</v>
      </c>
      <c r="V19" s="49" t="s">
        <v>170</v>
      </c>
      <c r="W19" s="49" t="s">
        <v>163</v>
      </c>
      <c r="X19" s="49" t="s">
        <v>163</v>
      </c>
      <c r="Y19" s="49" t="s">
        <v>163</v>
      </c>
      <c r="Z19" s="49" t="s">
        <v>163</v>
      </c>
      <c r="AA19" s="49" t="s">
        <v>163</v>
      </c>
      <c r="AB19" s="49" t="s">
        <v>170</v>
      </c>
      <c r="AC19" s="49" t="s">
        <v>170</v>
      </c>
      <c r="AD19" s="49" t="s">
        <v>163</v>
      </c>
      <c r="AE19" s="49" t="s">
        <v>163</v>
      </c>
      <c r="AF19" s="49" t="s">
        <v>163</v>
      </c>
      <c r="AG19" s="49" t="s">
        <v>163</v>
      </c>
      <c r="AH19" s="49" t="s">
        <v>163</v>
      </c>
      <c r="AI19" s="49" t="s">
        <v>170</v>
      </c>
      <c r="AJ19" s="50" t="n">
        <f aca="false">((COUNTIF(E19:AI19,"Я")+COUNTIF(E19:AI19,"Н")+COUNTIF(E19:AI19,"С")+COUNTIF(E19:AI19,"К")+COUNTIF(E19:AI19,"РВ"))*Настройки!$B$7)+COUNTIF(E19:AI19,"С")*Настройки!$B$9</f>
        <v>152</v>
      </c>
      <c r="AK19" s="50" t="n">
        <f aca="false">COUNTIF(E19:AI19,"Я")+COUNTIF(E19:AI19,"Н")+COUNTIF(E19:AI19,"С")+COUNTIF(E19:AI19,"РВ")+COUNTIF(E19:AI19,"К")</f>
        <v>19</v>
      </c>
      <c r="AL19" s="50" t="n">
        <f aca="false">COUNTIF(E19:AI19,"Б")+COUNTIF(E19:AI19,"ОТ")+COUNTIF(E19:AI19,"ПР")+COUNTIF(E19:AI19,"НН")+COUNTIF(E19:AI19,"ОД")+COUNTIF(E19:AI19,"ОЗ")+COUNTIF(E19:AI19,"У")+COUNTIF(E19:AI19,"Т")+COUNTIF(E19:AI19,"Р")+COUNTIF(E19:AI19,"ОВ")</f>
        <v>0</v>
      </c>
      <c r="AM19" s="50" t="n">
        <f aca="false">COUNTIF(E19:AI19,"С")*Настройки!$B$9</f>
        <v>0</v>
      </c>
      <c r="AN19" s="51" t="n">
        <f aca="false">IFERROR(((COUNTIF(E19:AI19,"Я")+COUNTIF(E19:AI19,"Н")+COUNTIF(E19:AI19,"С")+COUNTIF(E19:AI19,"К"))*Настройки!$B$7+COUNTIF(E19:AI19,"РВ")*Настройки!$B$7*2+COUNTIF(E19:AI19,"С")*Настройки!$B$9*1.5)*VLOOKUP(B19,Сотрудники!$B$4:$I$23,6,FALSE()),0)</f>
        <v>470476.190476191</v>
      </c>
    </row>
    <row r="20" customFormat="false" ht="21.75" hidden="false" customHeight="true" outlineLevel="0" collapsed="false">
      <c r="A20" s="46" t="n">
        <v>15</v>
      </c>
      <c r="B20" s="47" t="s">
        <v>133</v>
      </c>
      <c r="C20" s="48" t="str">
        <f aca="false">IFERROR(VLOOKUP(B20,Сотрудники!$B$4:$I$23,2,FALSE()),"")</f>
        <v>Досанова А.Ж.</v>
      </c>
      <c r="D20" s="48" t="str">
        <f aca="false">IFERROR(VLOOKUP(B20,Сотрудники!$B$4:$I$23,3,FALSE()),"")</f>
        <v>Ассистент</v>
      </c>
      <c r="E20" s="49" t="s">
        <v>170</v>
      </c>
      <c r="F20" s="49" t="s">
        <v>170</v>
      </c>
      <c r="G20" s="49" t="s">
        <v>170</v>
      </c>
      <c r="H20" s="49" t="s">
        <v>170</v>
      </c>
      <c r="I20" s="49" t="s">
        <v>163</v>
      </c>
      <c r="J20" s="49" t="s">
        <v>163</v>
      </c>
      <c r="K20" s="49" t="s">
        <v>170</v>
      </c>
      <c r="L20" s="49" t="s">
        <v>163</v>
      </c>
      <c r="M20" s="49" t="s">
        <v>163</v>
      </c>
      <c r="N20" s="49" t="s">
        <v>170</v>
      </c>
      <c r="O20" s="49" t="s">
        <v>170</v>
      </c>
      <c r="P20" s="49" t="s">
        <v>163</v>
      </c>
      <c r="Q20" s="49" t="s">
        <v>163</v>
      </c>
      <c r="R20" s="49" t="s">
        <v>163</v>
      </c>
      <c r="S20" s="49" t="s">
        <v>163</v>
      </c>
      <c r="T20" s="49" t="s">
        <v>163</v>
      </c>
      <c r="U20" s="49" t="s">
        <v>170</v>
      </c>
      <c r="V20" s="49" t="s">
        <v>170</v>
      </c>
      <c r="W20" s="49" t="s">
        <v>163</v>
      </c>
      <c r="X20" s="49" t="s">
        <v>163</v>
      </c>
      <c r="Y20" s="49" t="s">
        <v>163</v>
      </c>
      <c r="Z20" s="49" t="s">
        <v>163</v>
      </c>
      <c r="AA20" s="49" t="s">
        <v>163</v>
      </c>
      <c r="AB20" s="49" t="s">
        <v>170</v>
      </c>
      <c r="AC20" s="49" t="s">
        <v>170</v>
      </c>
      <c r="AD20" s="49" t="s">
        <v>163</v>
      </c>
      <c r="AE20" s="49" t="s">
        <v>163</v>
      </c>
      <c r="AF20" s="49" t="s">
        <v>163</v>
      </c>
      <c r="AG20" s="49" t="s">
        <v>163</v>
      </c>
      <c r="AH20" s="49" t="s">
        <v>163</v>
      </c>
      <c r="AI20" s="49" t="s">
        <v>170</v>
      </c>
      <c r="AJ20" s="50" t="n">
        <f aca="false">((COUNTIF(E20:AI20,"Я")+COUNTIF(E20:AI20,"Н")+COUNTIF(E20:AI20,"С")+COUNTIF(E20:AI20,"К")+COUNTIF(E20:AI20,"РВ"))*Настройки!$B$7)+COUNTIF(E20:AI20,"С")*Настройки!$B$9</f>
        <v>152</v>
      </c>
      <c r="AK20" s="50" t="n">
        <f aca="false">COUNTIF(E20:AI20,"Я")+COUNTIF(E20:AI20,"Н")+COUNTIF(E20:AI20,"С")+COUNTIF(E20:AI20,"РВ")+COUNTIF(E20:AI20,"К")</f>
        <v>19</v>
      </c>
      <c r="AL20" s="50" t="n">
        <f aca="false">COUNTIF(E20:AI20,"Б")+COUNTIF(E20:AI20,"ОТ")+COUNTIF(E20:AI20,"ПР")+COUNTIF(E20:AI20,"НН")+COUNTIF(E20:AI20,"ОД")+COUNTIF(E20:AI20,"ОЗ")+COUNTIF(E20:AI20,"У")+COUNTIF(E20:AI20,"Т")+COUNTIF(E20:AI20,"Р")+COUNTIF(E20:AI20,"ОВ")</f>
        <v>0</v>
      </c>
      <c r="AM20" s="50" t="n">
        <f aca="false">COUNTIF(E20:AI20,"С")*Настройки!$B$9</f>
        <v>0</v>
      </c>
      <c r="AN20" s="51" t="n">
        <f aca="false">IFERROR(((COUNTIF(E20:AI20,"Я")+COUNTIF(E20:AI20,"Н")+COUNTIF(E20:AI20,"С")+COUNTIF(E20:AI20,"К"))*Настройки!$B$7+COUNTIF(E20:AI20,"РВ")*Настройки!$B$7*2+COUNTIF(E20:AI20,"С")*Настройки!$B$9*1.5)*VLOOKUP(B20,Сотрудники!$B$4:$I$23,6,FALSE()),0)</f>
        <v>226190.476190476</v>
      </c>
    </row>
    <row r="21" customFormat="false" ht="21.75" hidden="false" customHeight="true" outlineLevel="0" collapsed="false">
      <c r="A21" s="46" t="n">
        <v>16</v>
      </c>
      <c r="B21" s="47" t="s">
        <v>137</v>
      </c>
      <c r="C21" s="48" t="str">
        <f aca="false">IFERROR(VLOOKUP(B21,Сотрудники!$B$4:$I$23,2,FALSE()),"")</f>
        <v>Кенжебаев Р.С.</v>
      </c>
      <c r="D21" s="48" t="str">
        <f aca="false">IFERROR(VLOOKUP(B21,Сотрудники!$B$4:$I$23,3,FALSE()),"")</f>
        <v>Водитель</v>
      </c>
      <c r="E21" s="49" t="s">
        <v>170</v>
      </c>
      <c r="F21" s="49" t="s">
        <v>170</v>
      </c>
      <c r="G21" s="49" t="s">
        <v>170</v>
      </c>
      <c r="H21" s="49" t="s">
        <v>170</v>
      </c>
      <c r="I21" s="49" t="s">
        <v>174</v>
      </c>
      <c r="J21" s="49" t="s">
        <v>174</v>
      </c>
      <c r="K21" s="49" t="s">
        <v>174</v>
      </c>
      <c r="L21" s="49" t="s">
        <v>174</v>
      </c>
      <c r="M21" s="49" t="s">
        <v>174</v>
      </c>
      <c r="N21" s="49" t="s">
        <v>174</v>
      </c>
      <c r="O21" s="49" t="s">
        <v>174</v>
      </c>
      <c r="P21" s="49" t="s">
        <v>174</v>
      </c>
      <c r="Q21" s="49" t="s">
        <v>174</v>
      </c>
      <c r="R21" s="49" t="s">
        <v>174</v>
      </c>
      <c r="S21" s="49" t="s">
        <v>174</v>
      </c>
      <c r="T21" s="49" t="s">
        <v>174</v>
      </c>
      <c r="U21" s="49" t="s">
        <v>174</v>
      </c>
      <c r="V21" s="49" t="s">
        <v>174</v>
      </c>
      <c r="W21" s="49" t="s">
        <v>163</v>
      </c>
      <c r="X21" s="49" t="s">
        <v>163</v>
      </c>
      <c r="Y21" s="49" t="s">
        <v>163</v>
      </c>
      <c r="Z21" s="49" t="s">
        <v>163</v>
      </c>
      <c r="AA21" s="49" t="s">
        <v>163</v>
      </c>
      <c r="AB21" s="49" t="s">
        <v>170</v>
      </c>
      <c r="AC21" s="49" t="s">
        <v>170</v>
      </c>
      <c r="AD21" s="49" t="s">
        <v>163</v>
      </c>
      <c r="AE21" s="49" t="s">
        <v>163</v>
      </c>
      <c r="AF21" s="49" t="s">
        <v>163</v>
      </c>
      <c r="AG21" s="49" t="s">
        <v>163</v>
      </c>
      <c r="AH21" s="49" t="s">
        <v>163</v>
      </c>
      <c r="AI21" s="49" t="s">
        <v>170</v>
      </c>
      <c r="AJ21" s="50" t="n">
        <f aca="false">((COUNTIF(E21:AI21,"Я")+COUNTIF(E21:AI21,"Н")+COUNTIF(E21:AI21,"С")+COUNTIF(E21:AI21,"К")+COUNTIF(E21:AI21,"РВ"))*Настройки!$B$7)+COUNTIF(E21:AI21,"С")*Настройки!$B$9</f>
        <v>80</v>
      </c>
      <c r="AK21" s="50" t="n">
        <f aca="false">COUNTIF(E21:AI21,"Я")+COUNTIF(E21:AI21,"Н")+COUNTIF(E21:AI21,"С")+COUNTIF(E21:AI21,"РВ")+COUNTIF(E21:AI21,"К")</f>
        <v>10</v>
      </c>
      <c r="AL21" s="50" t="n">
        <f aca="false">COUNTIF(E21:AI21,"Б")+COUNTIF(E21:AI21,"ОТ")+COUNTIF(E21:AI21,"ПР")+COUNTIF(E21:AI21,"НН")+COUNTIF(E21:AI21,"ОД")+COUNTIF(E21:AI21,"ОЗ")+COUNTIF(E21:AI21,"У")+COUNTIF(E21:AI21,"Т")+COUNTIF(E21:AI21,"Р")+COUNTIF(E21:AI21,"ОВ")</f>
        <v>14</v>
      </c>
      <c r="AM21" s="50" t="n">
        <f aca="false">COUNTIF(E21:AI21,"С")*Настройки!$B$9</f>
        <v>0</v>
      </c>
      <c r="AN21" s="51" t="n">
        <f aca="false">IFERROR(((COUNTIF(E21:AI21,"Я")+COUNTIF(E21:AI21,"Н")+COUNTIF(E21:AI21,"С")+COUNTIF(E21:AI21,"К"))*Настройки!$B$7+COUNTIF(E21:AI21,"РВ")*Настройки!$B$7*2+COUNTIF(E21:AI21,"С")*Настройки!$B$9*1.5)*VLOOKUP(B21,Сотрудники!$B$4:$I$23,6,FALSE()),0)</f>
        <v>128571.428571429</v>
      </c>
    </row>
    <row r="22" customFormat="false" ht="21.75" hidden="false" customHeight="true" outlineLevel="0" collapsed="false">
      <c r="A22" s="46" t="n">
        <v>17</v>
      </c>
      <c r="B22" s="47" t="s">
        <v>142</v>
      </c>
      <c r="C22" s="48" t="str">
        <f aca="false">IFERROR(VLOOKUP(B22,Сотрудники!$B$4:$I$23,2,FALSE()),"")</f>
        <v>Иманбаева С.Д.</v>
      </c>
      <c r="D22" s="48" t="str">
        <f aca="false">IFERROR(VLOOKUP(B22,Сотрудники!$B$4:$I$23,3,FALSE()),"")</f>
        <v>Секретарь</v>
      </c>
      <c r="E22" s="49" t="s">
        <v>170</v>
      </c>
      <c r="F22" s="49" t="s">
        <v>170</v>
      </c>
      <c r="G22" s="49" t="s">
        <v>170</v>
      </c>
      <c r="H22" s="49" t="s">
        <v>170</v>
      </c>
      <c r="I22" s="49" t="s">
        <v>163</v>
      </c>
      <c r="J22" s="49" t="s">
        <v>163</v>
      </c>
      <c r="K22" s="49" t="s">
        <v>170</v>
      </c>
      <c r="L22" s="49" t="s">
        <v>163</v>
      </c>
      <c r="M22" s="49" t="s">
        <v>163</v>
      </c>
      <c r="N22" s="49" t="s">
        <v>170</v>
      </c>
      <c r="O22" s="49" t="s">
        <v>170</v>
      </c>
      <c r="P22" s="49" t="s">
        <v>174</v>
      </c>
      <c r="Q22" s="49" t="s">
        <v>174</v>
      </c>
      <c r="R22" s="49" t="s">
        <v>174</v>
      </c>
      <c r="S22" s="49" t="s">
        <v>174</v>
      </c>
      <c r="T22" s="49" t="s">
        <v>174</v>
      </c>
      <c r="U22" s="49" t="s">
        <v>174</v>
      </c>
      <c r="V22" s="49" t="s">
        <v>174</v>
      </c>
      <c r="W22" s="49" t="s">
        <v>174</v>
      </c>
      <c r="X22" s="49" t="s">
        <v>174</v>
      </c>
      <c r="Y22" s="49" t="s">
        <v>174</v>
      </c>
      <c r="Z22" s="49" t="s">
        <v>174</v>
      </c>
      <c r="AA22" s="49" t="s">
        <v>174</v>
      </c>
      <c r="AB22" s="49" t="s">
        <v>174</v>
      </c>
      <c r="AC22" s="49" t="s">
        <v>174</v>
      </c>
      <c r="AD22" s="49" t="s">
        <v>163</v>
      </c>
      <c r="AE22" s="49" t="s">
        <v>163</v>
      </c>
      <c r="AF22" s="49" t="s">
        <v>163</v>
      </c>
      <c r="AG22" s="49" t="s">
        <v>163</v>
      </c>
      <c r="AH22" s="49" t="s">
        <v>163</v>
      </c>
      <c r="AI22" s="49" t="s">
        <v>170</v>
      </c>
      <c r="AJ22" s="50" t="n">
        <f aca="false">((COUNTIF(E22:AI22,"Я")+COUNTIF(E22:AI22,"Н")+COUNTIF(E22:AI22,"С")+COUNTIF(E22:AI22,"К")+COUNTIF(E22:AI22,"РВ"))*Настройки!$B$7)+COUNTIF(E22:AI22,"С")*Настройки!$B$9</f>
        <v>72</v>
      </c>
      <c r="AK22" s="50" t="n">
        <f aca="false">COUNTIF(E22:AI22,"Я")+COUNTIF(E22:AI22,"Н")+COUNTIF(E22:AI22,"С")+COUNTIF(E22:AI22,"РВ")+COUNTIF(E22:AI22,"К")</f>
        <v>9</v>
      </c>
      <c r="AL22" s="50" t="n">
        <f aca="false">COUNTIF(E22:AI22,"Б")+COUNTIF(E22:AI22,"ОТ")+COUNTIF(E22:AI22,"ПР")+COUNTIF(E22:AI22,"НН")+COUNTIF(E22:AI22,"ОД")+COUNTIF(E22:AI22,"ОЗ")+COUNTIF(E22:AI22,"У")+COUNTIF(E22:AI22,"Т")+COUNTIF(E22:AI22,"Р")+COUNTIF(E22:AI22,"ОВ")</f>
        <v>14</v>
      </c>
      <c r="AM22" s="50" t="n">
        <f aca="false">COUNTIF(E22:AI22,"С")*Настройки!$B$9</f>
        <v>0</v>
      </c>
      <c r="AN22" s="51" t="n">
        <f aca="false">IFERROR(((COUNTIF(E22:AI22,"Я")+COUNTIF(E22:AI22,"Н")+COUNTIF(E22:AI22,"С")+COUNTIF(E22:AI22,"К"))*Настройки!$B$7+COUNTIF(E22:AI22,"РВ")*Настройки!$B$7*2+COUNTIF(E22:AI22,"С")*Настройки!$B$9*1.5)*VLOOKUP(B22,Сотрудники!$B$4:$I$23,6,FALSE()),0)</f>
        <v>111428.571428571</v>
      </c>
    </row>
    <row r="23" customFormat="false" ht="21.75" hidden="false" customHeight="true" outlineLevel="0" collapsed="false">
      <c r="A23" s="46" t="n">
        <v>18</v>
      </c>
      <c r="B23" s="47" t="s">
        <v>146</v>
      </c>
      <c r="C23" s="48" t="str">
        <f aca="false">IFERROR(VLOOKUP(B23,Сотрудники!$B$4:$I$23,2,FALSE()),"")</f>
        <v>Сапаров А.М.</v>
      </c>
      <c r="D23" s="48" t="str">
        <f aca="false">IFERROR(VLOOKUP(B23,Сотрудники!$B$4:$I$23,3,FALSE()),"")</f>
        <v>Менеджер по продажам</v>
      </c>
      <c r="E23" s="49" t="s">
        <v>170</v>
      </c>
      <c r="F23" s="49" t="s">
        <v>170</v>
      </c>
      <c r="G23" s="49" t="s">
        <v>170</v>
      </c>
      <c r="H23" s="49" t="s">
        <v>170</v>
      </c>
      <c r="I23" s="49" t="s">
        <v>163</v>
      </c>
      <c r="J23" s="49" t="s">
        <v>163</v>
      </c>
      <c r="K23" s="49" t="s">
        <v>170</v>
      </c>
      <c r="L23" s="49" t="s">
        <v>163</v>
      </c>
      <c r="M23" s="49" t="s">
        <v>163</v>
      </c>
      <c r="N23" s="49" t="s">
        <v>170</v>
      </c>
      <c r="O23" s="49" t="s">
        <v>170</v>
      </c>
      <c r="P23" s="49" t="s">
        <v>163</v>
      </c>
      <c r="Q23" s="49" t="s">
        <v>163</v>
      </c>
      <c r="R23" s="49" t="s">
        <v>163</v>
      </c>
      <c r="S23" s="49" t="s">
        <v>163</v>
      </c>
      <c r="T23" s="49" t="s">
        <v>163</v>
      </c>
      <c r="U23" s="49" t="s">
        <v>170</v>
      </c>
      <c r="V23" s="49" t="s">
        <v>170</v>
      </c>
      <c r="W23" s="49" t="s">
        <v>190</v>
      </c>
      <c r="X23" s="49" t="s">
        <v>190</v>
      </c>
      <c r="Y23" s="49" t="s">
        <v>190</v>
      </c>
      <c r="Z23" s="49" t="s">
        <v>190</v>
      </c>
      <c r="AA23" s="49" t="s">
        <v>190</v>
      </c>
      <c r="AB23" s="49" t="s">
        <v>170</v>
      </c>
      <c r="AC23" s="49" t="s">
        <v>170</v>
      </c>
      <c r="AD23" s="49" t="s">
        <v>163</v>
      </c>
      <c r="AE23" s="49" t="s">
        <v>163</v>
      </c>
      <c r="AF23" s="49" t="s">
        <v>163</v>
      </c>
      <c r="AG23" s="49" t="s">
        <v>163</v>
      </c>
      <c r="AH23" s="49" t="s">
        <v>163</v>
      </c>
      <c r="AI23" s="49" t="s">
        <v>170</v>
      </c>
      <c r="AJ23" s="50" t="n">
        <f aca="false">((COUNTIF(E23:AI23,"Я")+COUNTIF(E23:AI23,"Н")+COUNTIF(E23:AI23,"С")+COUNTIF(E23:AI23,"К")+COUNTIF(E23:AI23,"РВ"))*Настройки!$B$7)+COUNTIF(E23:AI23,"С")*Настройки!$B$9</f>
        <v>112</v>
      </c>
      <c r="AK23" s="50" t="n">
        <f aca="false">COUNTIF(E23:AI23,"Я")+COUNTIF(E23:AI23,"Н")+COUNTIF(E23:AI23,"С")+COUNTIF(E23:AI23,"РВ")+COUNTIF(E23:AI23,"К")</f>
        <v>14</v>
      </c>
      <c r="AL23" s="50" t="n">
        <f aca="false">COUNTIF(E23:AI23,"Б")+COUNTIF(E23:AI23,"ОТ")+COUNTIF(E23:AI23,"ПР")+COUNTIF(E23:AI23,"НН")+COUNTIF(E23:AI23,"ОД")+COUNTIF(E23:AI23,"ОЗ")+COUNTIF(E23:AI23,"У")+COUNTIF(E23:AI23,"Т")+COUNTIF(E23:AI23,"Р")+COUNTIF(E23:AI23,"ОВ")</f>
        <v>5</v>
      </c>
      <c r="AM23" s="50" t="n">
        <f aca="false">COUNTIF(E23:AI23,"С")*Настройки!$B$9</f>
        <v>0</v>
      </c>
      <c r="AN23" s="51" t="n">
        <f aca="false">IFERROR(((COUNTIF(E23:AI23,"Я")+COUNTIF(E23:AI23,"Н")+COUNTIF(E23:AI23,"С")+COUNTIF(E23:AI23,"К"))*Настройки!$B$7+COUNTIF(E23:AI23,"РВ")*Настройки!$B$7*2+COUNTIF(E23:AI23,"С")*Настройки!$B$9*1.5)*VLOOKUP(B23,Сотрудники!$B$4:$I$23,6,FALSE()),0)</f>
        <v>233333.333333333</v>
      </c>
    </row>
    <row r="24" customFormat="false" ht="21.75" hidden="false" customHeight="true" outlineLevel="0" collapsed="false">
      <c r="A24" s="46" t="n">
        <v>19</v>
      </c>
      <c r="B24" s="47" t="s">
        <v>149</v>
      </c>
      <c r="C24" s="48" t="str">
        <f aca="false">IFERROR(VLOOKUP(B24,Сотрудники!$B$4:$I$23,2,FALSE()),"")</f>
        <v>Байжанова Л.К.</v>
      </c>
      <c r="D24" s="48" t="str">
        <f aca="false">IFERROR(VLOOKUP(B24,Сотрудники!$B$4:$I$23,3,FALSE()),"")</f>
        <v>Контент-менеджер</v>
      </c>
      <c r="E24" s="49" t="s">
        <v>170</v>
      </c>
      <c r="F24" s="49" t="s">
        <v>170</v>
      </c>
      <c r="G24" s="49" t="s">
        <v>170</v>
      </c>
      <c r="H24" s="49" t="s">
        <v>170</v>
      </c>
      <c r="I24" s="49" t="s">
        <v>163</v>
      </c>
      <c r="J24" s="49" t="s">
        <v>163</v>
      </c>
      <c r="K24" s="49" t="s">
        <v>170</v>
      </c>
      <c r="L24" s="49" t="s">
        <v>163</v>
      </c>
      <c r="M24" s="49" t="s">
        <v>163</v>
      </c>
      <c r="N24" s="49" t="s">
        <v>170</v>
      </c>
      <c r="O24" s="49" t="s">
        <v>170</v>
      </c>
      <c r="P24" s="49" t="s">
        <v>163</v>
      </c>
      <c r="Q24" s="49" t="s">
        <v>163</v>
      </c>
      <c r="R24" s="49" t="s">
        <v>196</v>
      </c>
      <c r="S24" s="49" t="s">
        <v>163</v>
      </c>
      <c r="T24" s="49" t="s">
        <v>163</v>
      </c>
      <c r="U24" s="49" t="s">
        <v>170</v>
      </c>
      <c r="V24" s="49" t="s">
        <v>170</v>
      </c>
      <c r="W24" s="49" t="s">
        <v>163</v>
      </c>
      <c r="X24" s="49" t="s">
        <v>163</v>
      </c>
      <c r="Y24" s="49" t="s">
        <v>163</v>
      </c>
      <c r="Z24" s="49" t="s">
        <v>163</v>
      </c>
      <c r="AA24" s="49" t="s">
        <v>163</v>
      </c>
      <c r="AB24" s="49" t="s">
        <v>170</v>
      </c>
      <c r="AC24" s="49" t="s">
        <v>170</v>
      </c>
      <c r="AD24" s="49" t="s">
        <v>163</v>
      </c>
      <c r="AE24" s="49" t="s">
        <v>163</v>
      </c>
      <c r="AF24" s="49" t="s">
        <v>163</v>
      </c>
      <c r="AG24" s="49" t="s">
        <v>163</v>
      </c>
      <c r="AH24" s="49" t="s">
        <v>163</v>
      </c>
      <c r="AI24" s="49" t="s">
        <v>170</v>
      </c>
      <c r="AJ24" s="50" t="n">
        <f aca="false">((COUNTIF(E24:AI24,"Я")+COUNTIF(E24:AI24,"Н")+COUNTIF(E24:AI24,"С")+COUNTIF(E24:AI24,"К")+COUNTIF(E24:AI24,"РВ"))*Настройки!$B$7)+COUNTIF(E24:AI24,"С")*Настройки!$B$9</f>
        <v>144</v>
      </c>
      <c r="AK24" s="50" t="n">
        <f aca="false">COUNTIF(E24:AI24,"Я")+COUNTIF(E24:AI24,"Н")+COUNTIF(E24:AI24,"С")+COUNTIF(E24:AI24,"РВ")+COUNTIF(E24:AI24,"К")</f>
        <v>18</v>
      </c>
      <c r="AL24" s="50" t="n">
        <f aca="false">COUNTIF(E24:AI24,"Б")+COUNTIF(E24:AI24,"ОТ")+COUNTIF(E24:AI24,"ПР")+COUNTIF(E24:AI24,"НН")+COUNTIF(E24:AI24,"ОД")+COUNTIF(E24:AI24,"ОЗ")+COUNTIF(E24:AI24,"У")+COUNTIF(E24:AI24,"Т")+COUNTIF(E24:AI24,"Р")+COUNTIF(E24:AI24,"ОВ")</f>
        <v>1</v>
      </c>
      <c r="AM24" s="50" t="n">
        <f aca="false">COUNTIF(E24:AI24,"С")*Настройки!$B$9</f>
        <v>0</v>
      </c>
      <c r="AN24" s="51" t="n">
        <f aca="false">IFERROR(((COUNTIF(E24:AI24,"Я")+COUNTIF(E24:AI24,"Н")+COUNTIF(E24:AI24,"С")+COUNTIF(E24:AI24,"К"))*Настройки!$B$7+COUNTIF(E24:AI24,"РВ")*Настройки!$B$7*2+COUNTIF(E24:AI24,"С")*Настройки!$B$9*1.5)*VLOOKUP(B24,Сотрудники!$B$4:$I$23,6,FALSE()),0)</f>
        <v>274285.714285714</v>
      </c>
    </row>
    <row r="25" customFormat="false" ht="21.75" hidden="false" customHeight="true" outlineLevel="0" collapsed="false">
      <c r="A25" s="46" t="n">
        <v>20</v>
      </c>
      <c r="B25" s="47" t="s">
        <v>153</v>
      </c>
      <c r="C25" s="48" t="str">
        <f aca="false">IFERROR(VLOOKUP(B25,Сотрудники!$B$4:$I$23,2,FALSE()),"")</f>
        <v>Ермеков Б.Н.</v>
      </c>
      <c r="D25" s="48" t="str">
        <f aca="false">IFERROR(VLOOKUP(B25,Сотрудники!$B$4:$I$23,3,FALSE()),"")</f>
        <v>Технический специалист</v>
      </c>
      <c r="E25" s="49" t="s">
        <v>170</v>
      </c>
      <c r="F25" s="49" t="s">
        <v>170</v>
      </c>
      <c r="G25" s="49" t="s">
        <v>170</v>
      </c>
      <c r="H25" s="49" t="s">
        <v>170</v>
      </c>
      <c r="I25" s="49" t="s">
        <v>163</v>
      </c>
      <c r="J25" s="49" t="s">
        <v>163</v>
      </c>
      <c r="K25" s="49" t="s">
        <v>170</v>
      </c>
      <c r="L25" s="49" t="s">
        <v>206</v>
      </c>
      <c r="M25" s="49" t="s">
        <v>163</v>
      </c>
      <c r="N25" s="49" t="s">
        <v>170</v>
      </c>
      <c r="O25" s="49" t="s">
        <v>170</v>
      </c>
      <c r="P25" s="49" t="s">
        <v>163</v>
      </c>
      <c r="Q25" s="49" t="s">
        <v>163</v>
      </c>
      <c r="R25" s="49" t="s">
        <v>163</v>
      </c>
      <c r="S25" s="49" t="s">
        <v>206</v>
      </c>
      <c r="T25" s="49" t="s">
        <v>163</v>
      </c>
      <c r="U25" s="49" t="s">
        <v>170</v>
      </c>
      <c r="V25" s="49" t="s">
        <v>170</v>
      </c>
      <c r="W25" s="49" t="s">
        <v>163</v>
      </c>
      <c r="X25" s="49" t="s">
        <v>163</v>
      </c>
      <c r="Y25" s="49" t="s">
        <v>163</v>
      </c>
      <c r="Z25" s="49" t="s">
        <v>163</v>
      </c>
      <c r="AA25" s="49" t="s">
        <v>163</v>
      </c>
      <c r="AB25" s="49" t="s">
        <v>170</v>
      </c>
      <c r="AC25" s="49" t="s">
        <v>170</v>
      </c>
      <c r="AD25" s="49" t="s">
        <v>163</v>
      </c>
      <c r="AE25" s="49" t="s">
        <v>163</v>
      </c>
      <c r="AF25" s="49" t="s">
        <v>163</v>
      </c>
      <c r="AG25" s="49" t="s">
        <v>163</v>
      </c>
      <c r="AH25" s="49" t="s">
        <v>163</v>
      </c>
      <c r="AI25" s="49" t="s">
        <v>170</v>
      </c>
      <c r="AJ25" s="50" t="n">
        <f aca="false">((COUNTIF(E25:AI25,"Я")+COUNTIF(E25:AI25,"Н")+COUNTIF(E25:AI25,"С")+COUNTIF(E25:AI25,"К")+COUNTIF(E25:AI25,"РВ"))*Настройки!$B$7)+COUNTIF(E25:AI25,"С")*Настройки!$B$9</f>
        <v>156</v>
      </c>
      <c r="AK25" s="50" t="n">
        <f aca="false">COUNTIF(E25:AI25,"Я")+COUNTIF(E25:AI25,"Н")+COUNTIF(E25:AI25,"С")+COUNTIF(E25:AI25,"РВ")+COUNTIF(E25:AI25,"К")</f>
        <v>19</v>
      </c>
      <c r="AL25" s="50" t="n">
        <f aca="false">COUNTIF(E25:AI25,"Б")+COUNTIF(E25:AI25,"ОТ")+COUNTIF(E25:AI25,"ПР")+COUNTIF(E25:AI25,"НН")+COUNTIF(E25:AI25,"ОД")+COUNTIF(E25:AI25,"ОЗ")+COUNTIF(E25:AI25,"У")+COUNTIF(E25:AI25,"Т")+COUNTIF(E25:AI25,"Р")+COUNTIF(E25:AI25,"ОВ")</f>
        <v>0</v>
      </c>
      <c r="AM25" s="50" t="n">
        <f aca="false">COUNTIF(E25:AI25,"С")*Настройки!$B$9</f>
        <v>4</v>
      </c>
      <c r="AN25" s="51" t="n">
        <f aca="false">IFERROR(((COUNTIF(E25:AI25,"Я")+COUNTIF(E25:AI25,"Н")+COUNTIF(E25:AI25,"С")+COUNTIF(E25:AI25,"К"))*Настройки!$B$7+COUNTIF(E25:AI25,"РВ")*Настройки!$B$7*2+COUNTIF(E25:AI25,"С")*Настройки!$B$9*1.5)*VLOOKUP(B25,Сотрудники!$B$4:$I$23,6,FALSE()),0)</f>
        <v>395000</v>
      </c>
    </row>
    <row r="26" customFormat="false" ht="27.75" hidden="false" customHeight="true" outlineLevel="0" collapsed="false">
      <c r="A26" s="52" t="s">
        <v>222</v>
      </c>
      <c r="B26" s="52"/>
      <c r="C26" s="52"/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4" t="n">
        <f aca="false">SUM(AJ6:AJ25)</f>
        <v>2844</v>
      </c>
      <c r="AK26" s="54" t="n">
        <f aca="false">SUM(AK6:AK25)</f>
        <v>355</v>
      </c>
      <c r="AL26" s="54" t="n">
        <f aca="false">SUM(AL6:AL25)</f>
        <v>34</v>
      </c>
      <c r="AM26" s="54" t="n">
        <f aca="false">SUM(AM6:AM25)</f>
        <v>4</v>
      </c>
      <c r="AN26" s="55" t="n">
        <f aca="false">SUM(AN6:AN25)</f>
        <v>7032619.04761905</v>
      </c>
    </row>
  </sheetData>
  <sheetProtection sheet="true"/>
  <mergeCells count="4">
    <mergeCell ref="A1:N1"/>
    <mergeCell ref="O1:AN1"/>
    <mergeCell ref="A2:AN2"/>
    <mergeCell ref="A26:D26"/>
  </mergeCells>
  <conditionalFormatting sqref="E6:AI25">
    <cfRule type="expression" priority="2" aboveAverage="0" equalAverage="0" bottom="0" percent="0" rank="0" text="" dxfId="0">
      <formula>AND(E$4&lt;&gt;"",E$4&lt;=DAY(EOMONTH(DATE(Настройки!$B$5,Настройки!$B$4,1),0)),WEEKDAY(DATE(Настройки!$B$5,Настройки!$B$4,E$4),2)&gt;=6)</formula>
    </cfRule>
    <cfRule type="expression" priority="3" aboveAverage="0" equalAverage="0" bottom="0" percent="0" rank="0" text="" dxfId="1">
      <formula>AND(E$4&lt;&gt;"",E$4&lt;=DAY(EOMONTH(DATE(Настройки!$B$5,Настройки!$B$4,1),0)),COUNTIF(Праздники,DATE(Настройки!$B$5,Настройки!$B$4,E$4))&gt;0)</formula>
    </cfRule>
    <cfRule type="expression" priority="4" aboveAverage="0" equalAverage="0" bottom="0" percent="0" rank="0" text="" dxfId="2">
      <formula>OR(E$4="",E$4&gt;DAY(EOMONTH(DATE(Настройки!$B$5,Настройки!$B$4,1),0)))</formula>
    </cfRule>
    <cfRule type="cellIs" priority="5" operator="equal" aboveAverage="0" equalAverage="0" bottom="0" percent="0" rank="0" text="" dxfId="3">
      <formula>"Б"</formula>
    </cfRule>
    <cfRule type="cellIs" priority="6" operator="equal" aboveAverage="0" equalAverage="0" bottom="0" percent="0" rank="0" text="" dxfId="4">
      <formula>"ОТ"</formula>
    </cfRule>
    <cfRule type="cellIs" priority="7" operator="equal" aboveAverage="0" equalAverage="0" bottom="0" percent="0" rank="0" text="" dxfId="5">
      <formula>"ПР"</formula>
    </cfRule>
    <cfRule type="cellIs" priority="8" operator="equal" aboveAverage="0" equalAverage="0" bottom="0" percent="0" rank="0" text="" dxfId="0">
      <formula>"В"</formula>
    </cfRule>
    <cfRule type="cellIs" priority="9" operator="equal" aboveAverage="0" equalAverage="0" bottom="0" percent="0" rank="0" text="" dxfId="6">
      <formula>"С"</formula>
    </cfRule>
    <cfRule type="cellIs" priority="10" operator="equal" aboveAverage="0" equalAverage="0" bottom="0" percent="0" rank="0" text="" dxfId="6">
      <formula>"РВ"</formula>
    </cfRule>
    <cfRule type="cellIs" priority="11" operator="equal" aboveAverage="0" equalAverage="0" bottom="0" percent="0" rank="0" text="" dxfId="5">
      <formula>"НН"</formula>
    </cfRule>
  </conditionalFormatting>
  <dataValidations count="1">
    <dataValidation allowBlank="true" error="Используйте один из 16 кодов (см. лист «Коды»)" errorStyle="stop" errorTitle="Неверный код" operator="between" prompt="Выберите код из списка" promptTitle="Код посещаемости" showDropDown="false" showErrorMessage="false" showInputMessage="false" sqref="E6:AI25" type="list">
      <formula1>"Я,Н,В,ОТ,ОД,ОЗ,У,Р,Б,Т,ПР,НН,РВ,С,К,ОВ"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28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7" min="7" style="0" width="18"/>
    <col collapsed="false" customWidth="true" hidden="false" outlineLevel="0" max="8" min="8" style="0" width="16"/>
    <col collapsed="false" customWidth="true" hidden="false" outlineLevel="0" max="9" min="9" style="0" width="18"/>
  </cols>
  <sheetData>
    <row r="1" customFormat="false" ht="27.75" hidden="false" customHeight="true" outlineLevel="0" collapsed="false">
      <c r="A1" s="40" t="str">
        <f aca="false">Настройки!B3</f>
        <v>ООО «Пример»</v>
      </c>
      <c r="B1" s="40"/>
      <c r="C1" s="40"/>
      <c r="D1" s="40"/>
      <c r="E1" s="40"/>
      <c r="F1" s="41" t="str">
        <f aca="false">"Сводка за "&amp;CHOOSE(Настройки!B4,"январь","февраль","март","апрель","май","июнь","июль","август","сентябрь","октябрь","ноябрь","декабрь")&amp;" "&amp;Настройки!B5</f>
        <v>Сводка за январь 2026</v>
      </c>
      <c r="G1" s="41"/>
      <c r="H1" s="41"/>
      <c r="I1" s="41"/>
    </row>
    <row r="2" customFormat="false" ht="15" hidden="false" customHeight="false" outlineLevel="0" collapsed="false">
      <c r="A2" s="19" t="s">
        <v>223</v>
      </c>
      <c r="B2" s="19"/>
      <c r="C2" s="19"/>
      <c r="D2" s="19"/>
      <c r="E2" s="19"/>
      <c r="F2" s="19"/>
      <c r="G2" s="19"/>
      <c r="H2" s="19"/>
      <c r="I2" s="19"/>
    </row>
    <row r="4" customFormat="false" ht="36" hidden="false" customHeight="true" outlineLevel="0" collapsed="false">
      <c r="A4" s="56" t="s">
        <v>44</v>
      </c>
      <c r="B4" s="56" t="s">
        <v>60</v>
      </c>
      <c r="C4" s="56" t="s">
        <v>61</v>
      </c>
      <c r="D4" s="56" t="s">
        <v>224</v>
      </c>
      <c r="E4" s="56" t="s">
        <v>218</v>
      </c>
      <c r="F4" s="56" t="s">
        <v>225</v>
      </c>
      <c r="G4" s="56" t="s">
        <v>226</v>
      </c>
      <c r="H4" s="56" t="s">
        <v>227</v>
      </c>
      <c r="I4" s="56" t="s">
        <v>228</v>
      </c>
    </row>
    <row r="5" customFormat="false" ht="21.75" hidden="false" customHeight="true" outlineLevel="0" collapsed="false">
      <c r="A5" s="57" t="n">
        <v>1</v>
      </c>
      <c r="B5" s="58" t="str">
        <f aca="false">Табель!B6</f>
        <v>001</v>
      </c>
      <c r="C5" s="59" t="str">
        <f aca="false">IFERROR(VLOOKUP(B5,Сотрудники!$B$4:$I$23,2,FALSE()),"")</f>
        <v>Иванов И.И.</v>
      </c>
      <c r="D5" s="60" t="n">
        <f aca="false">Табель!AJ6</f>
        <v>152</v>
      </c>
      <c r="E5" s="60" t="n">
        <f aca="false">Табель!AK6</f>
        <v>19</v>
      </c>
      <c r="F5" s="60" t="n">
        <f aca="false">Табель!AM6</f>
        <v>0</v>
      </c>
      <c r="G5" s="61" t="n">
        <f aca="false">Табель!AN6</f>
        <v>316666.666666667</v>
      </c>
      <c r="H5" s="62" t="n">
        <v>0</v>
      </c>
      <c r="I5" s="63" t="n">
        <f aca="false">G5+H5</f>
        <v>316666.666666667</v>
      </c>
    </row>
    <row r="6" customFormat="false" ht="21.75" hidden="false" customHeight="true" outlineLevel="0" collapsed="false">
      <c r="A6" s="57" t="n">
        <v>2</v>
      </c>
      <c r="B6" s="64" t="str">
        <f aca="false">Табель!B7</f>
        <v>002</v>
      </c>
      <c r="C6" s="65" t="str">
        <f aca="false">IFERROR(VLOOKUP(B6,Сотрудники!$B$4:$I$23,2,FALSE()),"")</f>
        <v>Петров П.П.</v>
      </c>
      <c r="D6" s="66" t="n">
        <f aca="false">Табель!AJ7</f>
        <v>152</v>
      </c>
      <c r="E6" s="66" t="n">
        <f aca="false">Табель!AK7</f>
        <v>19</v>
      </c>
      <c r="F6" s="66" t="n">
        <f aca="false">Табель!AM7</f>
        <v>0</v>
      </c>
      <c r="G6" s="67" t="n">
        <f aca="false">Табель!AN7</f>
        <v>407142.857142857</v>
      </c>
      <c r="H6" s="62" t="n">
        <v>0</v>
      </c>
      <c r="I6" s="63" t="n">
        <f aca="false">G6+H6</f>
        <v>407142.857142857</v>
      </c>
    </row>
    <row r="7" customFormat="false" ht="21.75" hidden="false" customHeight="true" outlineLevel="0" collapsed="false">
      <c r="A7" s="57" t="n">
        <v>3</v>
      </c>
      <c r="B7" s="58" t="str">
        <f aca="false">Табель!B8</f>
        <v>003</v>
      </c>
      <c r="C7" s="59" t="str">
        <f aca="false">IFERROR(VLOOKUP(B7,Сотрудники!$B$4:$I$23,2,FALSE()),"")</f>
        <v>Сидоров С.С.</v>
      </c>
      <c r="D7" s="60" t="n">
        <f aca="false">Табель!AJ8</f>
        <v>152</v>
      </c>
      <c r="E7" s="60" t="n">
        <f aca="false">Табель!AK8</f>
        <v>19</v>
      </c>
      <c r="F7" s="60" t="n">
        <f aca="false">Табель!AM8</f>
        <v>0</v>
      </c>
      <c r="G7" s="61" t="n">
        <f aca="false">Табель!AN8</f>
        <v>361904.761904762</v>
      </c>
      <c r="H7" s="62" t="n">
        <v>0</v>
      </c>
      <c r="I7" s="63" t="n">
        <f aca="false">G7+H7</f>
        <v>361904.761904762</v>
      </c>
    </row>
    <row r="8" customFormat="false" ht="21.75" hidden="false" customHeight="true" outlineLevel="0" collapsed="false">
      <c r="A8" s="57" t="n">
        <v>4</v>
      </c>
      <c r="B8" s="64" t="str">
        <f aca="false">Табель!B9</f>
        <v>004</v>
      </c>
      <c r="C8" s="65" t="str">
        <f aca="false">IFERROR(VLOOKUP(B8,Сотрудники!$B$4:$I$23,2,FALSE()),"")</f>
        <v>Ахметова А.К.</v>
      </c>
      <c r="D8" s="66" t="n">
        <f aca="false">Табель!AJ9</f>
        <v>152</v>
      </c>
      <c r="E8" s="66" t="n">
        <f aca="false">Табель!AK9</f>
        <v>19</v>
      </c>
      <c r="F8" s="66" t="n">
        <f aca="false">Табель!AM9</f>
        <v>0</v>
      </c>
      <c r="G8" s="67" t="n">
        <f aca="false">Табель!AN9</f>
        <v>588095.238095238</v>
      </c>
      <c r="H8" s="62" t="n">
        <v>0</v>
      </c>
      <c r="I8" s="63" t="n">
        <f aca="false">G8+H8</f>
        <v>588095.238095238</v>
      </c>
    </row>
    <row r="9" customFormat="false" ht="21.75" hidden="false" customHeight="true" outlineLevel="0" collapsed="false">
      <c r="A9" s="57" t="n">
        <v>5</v>
      </c>
      <c r="B9" s="58" t="str">
        <f aca="false">Табель!B10</f>
        <v>005</v>
      </c>
      <c r="C9" s="59" t="str">
        <f aca="false">IFERROR(VLOOKUP(B9,Сотрудники!$B$4:$I$23,2,FALSE()),"")</f>
        <v>Нурланов Б.Т.</v>
      </c>
      <c r="D9" s="60" t="n">
        <f aca="false">Табель!AJ10</f>
        <v>152</v>
      </c>
      <c r="E9" s="60" t="n">
        <f aca="false">Табель!AK10</f>
        <v>19</v>
      </c>
      <c r="F9" s="60" t="n">
        <f aca="false">Табель!AM10</f>
        <v>0</v>
      </c>
      <c r="G9" s="61" t="n">
        <f aca="false">Табель!AN10</f>
        <v>343809.523809524</v>
      </c>
      <c r="H9" s="62" t="n">
        <v>0</v>
      </c>
      <c r="I9" s="63" t="n">
        <f aca="false">G9+H9</f>
        <v>343809.523809524</v>
      </c>
    </row>
    <row r="10" customFormat="false" ht="21.75" hidden="false" customHeight="true" outlineLevel="0" collapsed="false">
      <c r="A10" s="57" t="n">
        <v>6</v>
      </c>
      <c r="B10" s="64" t="str">
        <f aca="false">Табель!B11</f>
        <v>006</v>
      </c>
      <c r="C10" s="65" t="str">
        <f aca="false">IFERROR(VLOOKUP(B10,Сотрудники!$B$4:$I$23,2,FALSE()),"")</f>
        <v>Жумабекова Г.М.</v>
      </c>
      <c r="D10" s="66" t="n">
        <f aca="false">Табель!AJ11</f>
        <v>152</v>
      </c>
      <c r="E10" s="66" t="n">
        <f aca="false">Табель!AK11</f>
        <v>19</v>
      </c>
      <c r="F10" s="66" t="n">
        <f aca="false">Табель!AM11</f>
        <v>0</v>
      </c>
      <c r="G10" s="67" t="n">
        <f aca="false">Табель!AN11</f>
        <v>316666.666666667</v>
      </c>
      <c r="H10" s="62" t="n">
        <v>0</v>
      </c>
      <c r="I10" s="63" t="n">
        <f aca="false">G10+H10</f>
        <v>316666.666666667</v>
      </c>
    </row>
    <row r="11" customFormat="false" ht="21.75" hidden="false" customHeight="true" outlineLevel="0" collapsed="false">
      <c r="A11" s="57" t="n">
        <v>7</v>
      </c>
      <c r="B11" s="58" t="str">
        <f aca="false">Табель!B12</f>
        <v>007</v>
      </c>
      <c r="C11" s="59" t="str">
        <f aca="false">IFERROR(VLOOKUP(B11,Сотрудники!$B$4:$I$23,2,FALSE()),"")</f>
        <v>Серикбаев Е.А.</v>
      </c>
      <c r="D11" s="60" t="n">
        <f aca="false">Табель!AJ12</f>
        <v>152</v>
      </c>
      <c r="E11" s="60" t="n">
        <f aca="false">Табель!AK12</f>
        <v>19</v>
      </c>
      <c r="F11" s="60" t="n">
        <f aca="false">Табель!AM12</f>
        <v>0</v>
      </c>
      <c r="G11" s="61" t="n">
        <f aca="false">Табель!AN12</f>
        <v>497619.047619048</v>
      </c>
      <c r="H11" s="62" t="n">
        <v>0</v>
      </c>
      <c r="I11" s="63" t="n">
        <f aca="false">G11+H11</f>
        <v>497619.047619048</v>
      </c>
    </row>
    <row r="12" customFormat="false" ht="21.75" hidden="false" customHeight="true" outlineLevel="0" collapsed="false">
      <c r="A12" s="57" t="n">
        <v>8</v>
      </c>
      <c r="B12" s="64" t="str">
        <f aca="false">Табель!B13</f>
        <v>008</v>
      </c>
      <c r="C12" s="65" t="str">
        <f aca="false">IFERROR(VLOOKUP(B12,Сотрудники!$B$4:$I$23,2,FALSE()),"")</f>
        <v>Касымов Д.Н.</v>
      </c>
      <c r="D12" s="66" t="n">
        <f aca="false">Табель!AJ13</f>
        <v>152</v>
      </c>
      <c r="E12" s="66" t="n">
        <f aca="false">Табель!AK13</f>
        <v>19</v>
      </c>
      <c r="F12" s="66" t="n">
        <f aca="false">Табель!AM13</f>
        <v>0</v>
      </c>
      <c r="G12" s="67" t="n">
        <f aca="false">Табель!AN13</f>
        <v>407142.857142857</v>
      </c>
      <c r="H12" s="62" t="n">
        <v>0</v>
      </c>
      <c r="I12" s="63" t="n">
        <f aca="false">G12+H12</f>
        <v>407142.857142857</v>
      </c>
    </row>
    <row r="13" customFormat="false" ht="21.75" hidden="false" customHeight="true" outlineLevel="0" collapsed="false">
      <c r="A13" s="57" t="n">
        <v>9</v>
      </c>
      <c r="B13" s="58" t="str">
        <f aca="false">Табель!B14</f>
        <v>009</v>
      </c>
      <c r="C13" s="59" t="str">
        <f aca="false">IFERROR(VLOOKUP(B13,Сотрудники!$B$4:$I$23,2,FALSE()),"")</f>
        <v>Алиева Ж.С.</v>
      </c>
      <c r="D13" s="60" t="n">
        <f aca="false">Табель!AJ14</f>
        <v>152</v>
      </c>
      <c r="E13" s="60" t="n">
        <f aca="false">Табель!AK14</f>
        <v>19</v>
      </c>
      <c r="F13" s="60" t="n">
        <f aca="false">Табель!AM14</f>
        <v>0</v>
      </c>
      <c r="G13" s="61" t="n">
        <f aca="false">Табель!AN14</f>
        <v>361904.761904762</v>
      </c>
      <c r="H13" s="62" t="n">
        <v>0</v>
      </c>
      <c r="I13" s="63" t="n">
        <f aca="false">G13+H13</f>
        <v>361904.761904762</v>
      </c>
    </row>
    <row r="14" customFormat="false" ht="21.75" hidden="false" customHeight="true" outlineLevel="0" collapsed="false">
      <c r="A14" s="57" t="n">
        <v>10</v>
      </c>
      <c r="B14" s="64" t="str">
        <f aca="false">Табель!B15</f>
        <v>010</v>
      </c>
      <c r="C14" s="65" t="str">
        <f aca="false">IFERROR(VLOOKUP(B14,Сотрудники!$B$4:$I$23,2,FALSE()),"")</f>
        <v>Бекжанов М.К.</v>
      </c>
      <c r="D14" s="66" t="n">
        <f aca="false">Табель!AJ15</f>
        <v>152</v>
      </c>
      <c r="E14" s="66" t="n">
        <f aca="false">Табель!AK15</f>
        <v>19</v>
      </c>
      <c r="F14" s="66" t="n">
        <f aca="false">Табель!AM15</f>
        <v>0</v>
      </c>
      <c r="G14" s="67" t="n">
        <f aca="false">Табель!AN15</f>
        <v>633333.333333333</v>
      </c>
      <c r="H14" s="62" t="n">
        <v>0</v>
      </c>
      <c r="I14" s="63" t="n">
        <f aca="false">G14+H14</f>
        <v>633333.333333333</v>
      </c>
    </row>
    <row r="15" customFormat="false" ht="21.75" hidden="false" customHeight="true" outlineLevel="0" collapsed="false">
      <c r="A15" s="57" t="n">
        <v>11</v>
      </c>
      <c r="B15" s="58" t="str">
        <f aca="false">Табель!B16</f>
        <v>011</v>
      </c>
      <c r="C15" s="59" t="str">
        <f aca="false">IFERROR(VLOOKUP(B15,Сотрудники!$B$4:$I$23,2,FALSE()),"")</f>
        <v>Турсынова А.Б.</v>
      </c>
      <c r="D15" s="60" t="n">
        <f aca="false">Табель!AJ16</f>
        <v>152</v>
      </c>
      <c r="E15" s="60" t="n">
        <f aca="false">Табель!AK16</f>
        <v>19</v>
      </c>
      <c r="F15" s="60" t="n">
        <f aca="false">Табель!AM16</f>
        <v>0</v>
      </c>
      <c r="G15" s="61" t="n">
        <f aca="false">Табель!AN16</f>
        <v>271428.571428571</v>
      </c>
      <c r="H15" s="62" t="n">
        <v>0</v>
      </c>
      <c r="I15" s="63" t="n">
        <f aca="false">G15+H15</f>
        <v>271428.571428571</v>
      </c>
    </row>
    <row r="16" customFormat="false" ht="21.75" hidden="false" customHeight="true" outlineLevel="0" collapsed="false">
      <c r="A16" s="57" t="n">
        <v>12</v>
      </c>
      <c r="B16" s="64" t="str">
        <f aca="false">Табель!B17</f>
        <v>012</v>
      </c>
      <c r="C16" s="65" t="str">
        <f aca="false">IFERROR(VLOOKUP(B16,Сотрудники!$B$4:$I$23,2,FALSE()),"")</f>
        <v>Оспанов Т.Е.</v>
      </c>
      <c r="D16" s="66" t="n">
        <f aca="false">Табель!AJ17</f>
        <v>152</v>
      </c>
      <c r="E16" s="66" t="n">
        <f aca="false">Табель!AK17</f>
        <v>19</v>
      </c>
      <c r="F16" s="66" t="n">
        <f aca="false">Табель!AM17</f>
        <v>0</v>
      </c>
      <c r="G16" s="67" t="n">
        <f aca="false">Табель!AN17</f>
        <v>253333.333333333</v>
      </c>
      <c r="H16" s="62" t="n">
        <v>0</v>
      </c>
      <c r="I16" s="63" t="n">
        <f aca="false">G16+H16</f>
        <v>253333.333333333</v>
      </c>
    </row>
    <row r="17" customFormat="false" ht="21.75" hidden="false" customHeight="true" outlineLevel="0" collapsed="false">
      <c r="A17" s="57" t="n">
        <v>13</v>
      </c>
      <c r="B17" s="58" t="str">
        <f aca="false">Табель!B18</f>
        <v>013</v>
      </c>
      <c r="C17" s="59" t="str">
        <f aca="false">IFERROR(VLOOKUP(B17,Сотрудники!$B$4:$I$23,2,FALSE()),"")</f>
        <v>Мухамедова Н.Р.</v>
      </c>
      <c r="D17" s="60" t="n">
        <f aca="false">Табель!AJ18</f>
        <v>152</v>
      </c>
      <c r="E17" s="60" t="n">
        <f aca="false">Табель!AK18</f>
        <v>19</v>
      </c>
      <c r="F17" s="60" t="n">
        <f aca="false">Табель!AM18</f>
        <v>0</v>
      </c>
      <c r="G17" s="61" t="n">
        <f aca="false">Табель!AN18</f>
        <v>434285.714285714</v>
      </c>
      <c r="H17" s="62" t="n">
        <v>0</v>
      </c>
      <c r="I17" s="63" t="n">
        <f aca="false">G17+H17</f>
        <v>434285.714285714</v>
      </c>
    </row>
    <row r="18" customFormat="false" ht="21.75" hidden="false" customHeight="true" outlineLevel="0" collapsed="false">
      <c r="A18" s="57" t="n">
        <v>14</v>
      </c>
      <c r="B18" s="64" t="str">
        <f aca="false">Табель!B19</f>
        <v>014</v>
      </c>
      <c r="C18" s="65" t="str">
        <f aca="false">IFERROR(VLOOKUP(B18,Сотрудники!$B$4:$I$23,2,FALSE()),"")</f>
        <v>Шарипов К.А.</v>
      </c>
      <c r="D18" s="66" t="n">
        <f aca="false">Табель!AJ19</f>
        <v>152</v>
      </c>
      <c r="E18" s="66" t="n">
        <f aca="false">Табель!AK19</f>
        <v>19</v>
      </c>
      <c r="F18" s="66" t="n">
        <f aca="false">Табель!AM19</f>
        <v>0</v>
      </c>
      <c r="G18" s="67" t="n">
        <f aca="false">Табель!AN19</f>
        <v>470476.190476191</v>
      </c>
      <c r="H18" s="62" t="n">
        <v>0</v>
      </c>
      <c r="I18" s="63" t="n">
        <f aca="false">G18+H18</f>
        <v>470476.190476191</v>
      </c>
    </row>
    <row r="19" customFormat="false" ht="21.75" hidden="false" customHeight="true" outlineLevel="0" collapsed="false">
      <c r="A19" s="57" t="n">
        <v>15</v>
      </c>
      <c r="B19" s="58" t="str">
        <f aca="false">Табель!B20</f>
        <v>015</v>
      </c>
      <c r="C19" s="59" t="str">
        <f aca="false">IFERROR(VLOOKUP(B19,Сотрудники!$B$4:$I$23,2,FALSE()),"")</f>
        <v>Досанова А.Ж.</v>
      </c>
      <c r="D19" s="60" t="n">
        <f aca="false">Табель!AJ20</f>
        <v>152</v>
      </c>
      <c r="E19" s="60" t="n">
        <f aca="false">Табель!AK20</f>
        <v>19</v>
      </c>
      <c r="F19" s="60" t="n">
        <f aca="false">Табель!AM20</f>
        <v>0</v>
      </c>
      <c r="G19" s="61" t="n">
        <f aca="false">Табель!AN20</f>
        <v>226190.476190476</v>
      </c>
      <c r="H19" s="62" t="n">
        <v>0</v>
      </c>
      <c r="I19" s="63" t="n">
        <f aca="false">G19+H19</f>
        <v>226190.476190476</v>
      </c>
    </row>
    <row r="20" customFormat="false" ht="21.75" hidden="false" customHeight="true" outlineLevel="0" collapsed="false">
      <c r="A20" s="57" t="n">
        <v>16</v>
      </c>
      <c r="B20" s="64" t="str">
        <f aca="false">Табель!B21</f>
        <v>016</v>
      </c>
      <c r="C20" s="65" t="str">
        <f aca="false">IFERROR(VLOOKUP(B20,Сотрудники!$B$4:$I$23,2,FALSE()),"")</f>
        <v>Кенжебаев Р.С.</v>
      </c>
      <c r="D20" s="66" t="n">
        <f aca="false">Табель!AJ21</f>
        <v>80</v>
      </c>
      <c r="E20" s="66" t="n">
        <f aca="false">Табель!AK21</f>
        <v>10</v>
      </c>
      <c r="F20" s="66" t="n">
        <f aca="false">Табель!AM21</f>
        <v>0</v>
      </c>
      <c r="G20" s="67" t="n">
        <f aca="false">Табель!AN21</f>
        <v>128571.428571429</v>
      </c>
      <c r="H20" s="62" t="n">
        <v>0</v>
      </c>
      <c r="I20" s="63" t="n">
        <f aca="false">G20+H20</f>
        <v>128571.428571429</v>
      </c>
    </row>
    <row r="21" customFormat="false" ht="21.75" hidden="false" customHeight="true" outlineLevel="0" collapsed="false">
      <c r="A21" s="57" t="n">
        <v>17</v>
      </c>
      <c r="B21" s="58" t="str">
        <f aca="false">Табель!B22</f>
        <v>017</v>
      </c>
      <c r="C21" s="59" t="str">
        <f aca="false">IFERROR(VLOOKUP(B21,Сотрудники!$B$4:$I$23,2,FALSE()),"")</f>
        <v>Иманбаева С.Д.</v>
      </c>
      <c r="D21" s="60" t="n">
        <f aca="false">Табель!AJ22</f>
        <v>72</v>
      </c>
      <c r="E21" s="60" t="n">
        <f aca="false">Табель!AK22</f>
        <v>9</v>
      </c>
      <c r="F21" s="60" t="n">
        <f aca="false">Табель!AM22</f>
        <v>0</v>
      </c>
      <c r="G21" s="61" t="n">
        <f aca="false">Табель!AN22</f>
        <v>111428.571428571</v>
      </c>
      <c r="H21" s="62" t="n">
        <v>0</v>
      </c>
      <c r="I21" s="63" t="n">
        <f aca="false">G21+H21</f>
        <v>111428.571428571</v>
      </c>
    </row>
    <row r="22" customFormat="false" ht="21.75" hidden="false" customHeight="true" outlineLevel="0" collapsed="false">
      <c r="A22" s="57" t="n">
        <v>18</v>
      </c>
      <c r="B22" s="64" t="str">
        <f aca="false">Табель!B23</f>
        <v>018</v>
      </c>
      <c r="C22" s="65" t="str">
        <f aca="false">IFERROR(VLOOKUP(B22,Сотрудники!$B$4:$I$23,2,FALSE()),"")</f>
        <v>Сапаров А.М.</v>
      </c>
      <c r="D22" s="66" t="n">
        <f aca="false">Табель!AJ23</f>
        <v>112</v>
      </c>
      <c r="E22" s="66" t="n">
        <f aca="false">Табель!AK23</f>
        <v>14</v>
      </c>
      <c r="F22" s="66" t="n">
        <f aca="false">Табель!AM23</f>
        <v>0</v>
      </c>
      <c r="G22" s="67" t="n">
        <f aca="false">Табель!AN23</f>
        <v>233333.333333333</v>
      </c>
      <c r="H22" s="62" t="n">
        <v>0</v>
      </c>
      <c r="I22" s="63" t="n">
        <f aca="false">G22+H22</f>
        <v>233333.333333333</v>
      </c>
    </row>
    <row r="23" customFormat="false" ht="21.75" hidden="false" customHeight="true" outlineLevel="0" collapsed="false">
      <c r="A23" s="57" t="n">
        <v>19</v>
      </c>
      <c r="B23" s="58" t="str">
        <f aca="false">Табель!B24</f>
        <v>019</v>
      </c>
      <c r="C23" s="59" t="str">
        <f aca="false">IFERROR(VLOOKUP(B23,Сотрудники!$B$4:$I$23,2,FALSE()),"")</f>
        <v>Байжанова Л.К.</v>
      </c>
      <c r="D23" s="60" t="n">
        <f aca="false">Табель!AJ24</f>
        <v>144</v>
      </c>
      <c r="E23" s="60" t="n">
        <f aca="false">Табель!AK24</f>
        <v>18</v>
      </c>
      <c r="F23" s="60" t="n">
        <f aca="false">Табель!AM24</f>
        <v>0</v>
      </c>
      <c r="G23" s="61" t="n">
        <f aca="false">Табель!AN24</f>
        <v>274285.714285714</v>
      </c>
      <c r="H23" s="62" t="n">
        <v>0</v>
      </c>
      <c r="I23" s="63" t="n">
        <f aca="false">G23+H23</f>
        <v>274285.714285714</v>
      </c>
    </row>
    <row r="24" customFormat="false" ht="21.75" hidden="false" customHeight="true" outlineLevel="0" collapsed="false">
      <c r="A24" s="57" t="n">
        <v>20</v>
      </c>
      <c r="B24" s="64" t="str">
        <f aca="false">Табель!B25</f>
        <v>020</v>
      </c>
      <c r="C24" s="65" t="str">
        <f aca="false">IFERROR(VLOOKUP(B24,Сотрудники!$B$4:$I$23,2,FALSE()),"")</f>
        <v>Ермеков Б.Н.</v>
      </c>
      <c r="D24" s="66" t="n">
        <f aca="false">Табель!AJ25</f>
        <v>156</v>
      </c>
      <c r="E24" s="66" t="n">
        <f aca="false">Табель!AK25</f>
        <v>19</v>
      </c>
      <c r="F24" s="66" t="n">
        <f aca="false">Табель!AM25</f>
        <v>4</v>
      </c>
      <c r="G24" s="67" t="n">
        <f aca="false">Табель!AN25</f>
        <v>395000</v>
      </c>
      <c r="H24" s="62" t="n">
        <v>0</v>
      </c>
      <c r="I24" s="63" t="n">
        <f aca="false">G24+H24</f>
        <v>395000</v>
      </c>
    </row>
    <row r="25" customFormat="false" ht="27.75" hidden="false" customHeight="true" outlineLevel="0" collapsed="false">
      <c r="A25" s="52" t="s">
        <v>222</v>
      </c>
      <c r="B25" s="52"/>
      <c r="C25" s="52"/>
      <c r="D25" s="54" t="n">
        <f aca="false">SUM(D5:D24)</f>
        <v>2844</v>
      </c>
      <c r="E25" s="54" t="n">
        <f aca="false">SUM(E5:E24)</f>
        <v>355</v>
      </c>
      <c r="F25" s="54" t="n">
        <f aca="false">SUM(F5:F24)</f>
        <v>4</v>
      </c>
      <c r="G25" s="68" t="n">
        <f aca="false">SUM(G5:G24)</f>
        <v>7032619.04761905</v>
      </c>
      <c r="H25" s="68" t="n">
        <f aca="false">SUM(H5:H24)</f>
        <v>0</v>
      </c>
      <c r="I25" s="68" t="n">
        <f aca="false">SUM(I5:I24)</f>
        <v>7032619.04761905</v>
      </c>
    </row>
    <row r="28" customFormat="false" ht="24" hidden="false" customHeight="true" outlineLevel="0" collapsed="false">
      <c r="A28" s="69" t="s">
        <v>229</v>
      </c>
      <c r="B28" s="69"/>
      <c r="C28" s="69"/>
      <c r="D28" s="69"/>
      <c r="E28" s="69"/>
      <c r="F28" s="69"/>
      <c r="G28" s="69"/>
      <c r="H28" s="69"/>
      <c r="I28" s="69"/>
    </row>
    <row r="29" customFormat="false" ht="21.75" hidden="false" customHeight="true" outlineLevel="0" collapsed="false">
      <c r="A29" s="70" t="s">
        <v>230</v>
      </c>
      <c r="B29" s="70"/>
      <c r="C29" s="70"/>
      <c r="D29" s="70"/>
      <c r="E29" s="70"/>
      <c r="F29" s="70"/>
      <c r="G29" s="71" t="n">
        <f aca="false">COUNTA(Сотрудники!C4:C23)</f>
        <v>20</v>
      </c>
      <c r="H29" s="71"/>
      <c r="I29" s="71"/>
    </row>
    <row r="30" customFormat="false" ht="21.75" hidden="false" customHeight="true" outlineLevel="0" collapsed="false">
      <c r="A30" s="70" t="s">
        <v>231</v>
      </c>
      <c r="B30" s="70"/>
      <c r="C30" s="70"/>
      <c r="D30" s="70"/>
      <c r="E30" s="70"/>
      <c r="F30" s="70"/>
      <c r="G30" s="72" t="n">
        <f aca="false">IFERROR(E25/COUNTA(Сотрудники!C4:C23),0)</f>
        <v>17.75</v>
      </c>
      <c r="H30" s="72"/>
      <c r="I30" s="72"/>
    </row>
    <row r="31" customFormat="false" ht="21.75" hidden="false" customHeight="true" outlineLevel="0" collapsed="false">
      <c r="A31" s="70" t="s">
        <v>232</v>
      </c>
      <c r="B31" s="70"/>
      <c r="C31" s="70"/>
      <c r="D31" s="70"/>
      <c r="E31" s="70"/>
      <c r="F31" s="70"/>
      <c r="G31" s="71" t="n">
        <f aca="false">F25</f>
        <v>4</v>
      </c>
      <c r="H31" s="71"/>
      <c r="I31" s="71"/>
    </row>
    <row r="32" customFormat="false" ht="21.75" hidden="false" customHeight="true" outlineLevel="0" collapsed="false">
      <c r="A32" s="70" t="s">
        <v>233</v>
      </c>
      <c r="B32" s="70"/>
      <c r="C32" s="70"/>
      <c r="D32" s="70"/>
      <c r="E32" s="70"/>
      <c r="F32" s="70"/>
      <c r="G32" s="73" t="n">
        <f aca="false">IFERROR(AVERAGE(Сотрудники!F4:F23),0)</f>
        <v>406500</v>
      </c>
      <c r="H32" s="73"/>
      <c r="I32" s="73"/>
    </row>
    <row r="33" customFormat="false" ht="21.75" hidden="false" customHeight="true" outlineLevel="0" collapsed="false">
      <c r="A33" s="70" t="s">
        <v>234</v>
      </c>
      <c r="B33" s="70"/>
      <c r="C33" s="70"/>
      <c r="D33" s="70"/>
      <c r="E33" s="70"/>
      <c r="F33" s="70"/>
      <c r="G33" s="73" t="n">
        <f aca="false">I25</f>
        <v>7032619.04761905</v>
      </c>
      <c r="H33" s="73"/>
      <c r="I33" s="73"/>
    </row>
    <row r="36" customFormat="false" ht="15" hidden="false" customHeight="false" outlineLevel="0" collapsed="false">
      <c r="A36" s="74" t="s">
        <v>235</v>
      </c>
      <c r="B36" s="74"/>
      <c r="C36" s="74"/>
      <c r="D36" s="74"/>
      <c r="E36" s="74"/>
      <c r="F36" s="74"/>
      <c r="G36" s="74"/>
      <c r="H36" s="74"/>
      <c r="I36" s="74"/>
    </row>
  </sheetData>
  <sheetProtection sheet="true"/>
  <mergeCells count="16">
    <mergeCell ref="A1:E1"/>
    <mergeCell ref="F1:I1"/>
    <mergeCell ref="A2:I2"/>
    <mergeCell ref="A25:C25"/>
    <mergeCell ref="A28:I28"/>
    <mergeCell ref="A29:F29"/>
    <mergeCell ref="G29:I29"/>
    <mergeCell ref="A30:F30"/>
    <mergeCell ref="G30:I30"/>
    <mergeCell ref="A31:F31"/>
    <mergeCell ref="G31:I31"/>
    <mergeCell ref="A32:F32"/>
    <mergeCell ref="G32:I32"/>
    <mergeCell ref="A33:F33"/>
    <mergeCell ref="G33:I33"/>
    <mergeCell ref="A36:I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2026-05-14T18:37:45Z</dcterms:created>
  <dc:creator>openpyxl</dc:creator>
  <dc:description/>
  <dc:language>en-US</dc:language>
  <cp:lastModifiedBy/>
  <dcterms:modified xsi:type="dcterms:W3CDTF">2026-05-14T18:37:46Z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